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3bTbsg9b9ubdZpG9zmxhB+TGF31i8Rqmw6NWxFS05juLqp6+Awy1wAFGJ09Y7DmBsS+JpjxI+6wcO4ozuwBEvA==" workbookSaltValue="xgy3pB+iexLYs+TLSUvg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Z13" i="17"/>
  <c r="N13" i="2"/>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F17" i="16" l="1"/>
  <c r="BL17" i="16" s="1"/>
  <c r="AM19" i="8"/>
  <c r="AC19" i="8"/>
  <c r="AK19" i="8"/>
  <c r="AA19" i="8"/>
  <c r="AI19" i="8"/>
  <c r="BG10" i="8"/>
  <c r="K10" i="7" s="1"/>
  <c r="R19" i="8"/>
  <c r="BG9" i="8"/>
  <c r="BE9" i="8"/>
  <c r="I9" i="7" s="1"/>
  <c r="T19" i="8"/>
  <c r="H9" i="7"/>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F11" i="11"/>
  <c r="BH11" i="16"/>
  <c r="BG10" i="11"/>
  <c r="BM16" i="11"/>
  <c r="P17" i="17"/>
  <c r="BL17" i="11"/>
  <c r="BK12" i="11"/>
  <c r="BF10" i="11"/>
  <c r="BK9" i="11"/>
  <c r="BK15" i="11"/>
  <c r="X9" i="17"/>
  <c r="AP10" i="21"/>
  <c r="AA16" i="16"/>
  <c r="AA11"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S17" i="14"/>
  <c r="V17" i="14" s="1"/>
  <c r="R10" i="14"/>
  <c r="F17" i="17"/>
  <c r="AQ17" i="17" s="1"/>
  <c r="S10" i="14"/>
  <c r="V10" i="14" s="1"/>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I9"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O16" i="11"/>
  <c r="H20" i="17"/>
  <c r="AV20" i="20"/>
  <c r="AW20" i="11"/>
  <c r="AV20" i="21"/>
  <c r="AB20" i="20"/>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<sst xmlns="http://schemas.openxmlformats.org/spreadsheetml/2006/main" count="2094" uniqueCount="912">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</sst>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c3Q1QiQg4bmXbsu5r/PyAi7w0N5M4MdXRK8mn4M8C5yQ4VK+ZLMQFymldlnm6IfSpqyhfA6B6O9l27YtD0xg==" saltValue="GNhn6MfPtbxd1QF2UboB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17.245555555555555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106</v>
      </c>
      <c r="D10" s="228">
        <f>IF(ISNUMBER(Datos!I10),Datos!I10," - ")</f>
        <v>106</v>
      </c>
      <c r="E10" s="229">
        <f>IF(ISNUMBER(Datos!J10),Datos!J10," - ")</f>
        <v>58</v>
      </c>
      <c r="F10" s="229">
        <f>IF(ISNUMBER(Datos!K10),Datos!K10," - ")</f>
        <v>14</v>
      </c>
      <c r="G10" s="1037" t="str">
        <f>IF(Datos!E10&lt;&gt;"",Datos!E10,Datos!D10)</f>
        <v>37</v>
      </c>
      <c r="H10" s="230">
        <f>IF(ISNUMBER(Datos!L10),Datos!L10," - ")</f>
        <v>150</v>
      </c>
      <c r="I10" s="1047" t="str">
        <f>IF(ISNUMBER(Datos!AS10/Datos!BM10),Datos!AS10/Datos!BM10," - ")</f>
        <v xml:space="preserve"> - </v>
      </c>
      <c r="J10" s="1048">
        <f>IF(ISNUMBER(Datos!BY10/Datos!CN10),Datos!BY10/Datos!CN10," - ")</f>
        <v>0</v>
      </c>
      <c r="K10" s="233">
        <f t="shared" ref="K10:K12" si="1">IF(ISNUMBER((E10-F10)/C10),(E10-F10)/C10," - ")</f>
        <v>0.41509433962264153</v>
      </c>
      <c r="L10" s="1028">
        <f>IF(ISNUMBER(NºAsuntos!I10/NºAsuntos!G10),(NºAsuntos!I10/NºAsuntos!G10)*11," - ")</f>
        <v>117.85714285714285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106</v>
      </c>
      <c r="D13" s="1052">
        <f>SUBTOTAL(9,D9:D12)</f>
        <v>106</v>
      </c>
      <c r="E13" s="1053">
        <f>SUBTOTAL(9,E9:E12)</f>
        <v>58</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1504</v>
      </c>
      <c r="D15" s="228">
        <f>IF(ISNUMBER(IF(D_I="SI",Datos!I15,Datos!I15+Datos!AC15)),IF(D_I="SI",Datos!I15,Datos!I15+Datos!AC15)," - ")</f>
        <v>1504</v>
      </c>
      <c r="E15" s="229">
        <f>IF(ISNUMBER(IF(D_I="SI",Datos!J15,Datos!J15+Datos!AD15)),IF(D_I="SI",Datos!J15,Datos!J15+Datos!AD15)," - ")</f>
        <v>1434</v>
      </c>
      <c r="F15" s="229">
        <f>IF(ISNUMBER(IF(D_I="SI",Datos!K15,Datos!K15+Datos!AE15)),IF(D_I="SI",Datos!K15,Datos!K15+Datos!AE15)," - ")</f>
        <v>1328</v>
      </c>
      <c r="G15" s="1037" t="str">
        <f>IF(Datos!E15&lt;&gt;"",Datos!E15,Datos!D15)</f>
        <v>03</v>
      </c>
      <c r="H15" s="230">
        <f>IF(ISNUMBER(IF(D_I="SI",Datos!L15,Datos!L15+Datos!AF15)),IF(D_I="SI",Datos!L15,Datos!L15+Datos!AF15)," - ")</f>
        <v>1610</v>
      </c>
      <c r="I15" s="1047" t="str">
        <f>IF(ISNUMBER(Datos!AS15/Datos!BM15),Datos!AS15/Datos!BM15," - ")</f>
        <v xml:space="preserve"> - </v>
      </c>
      <c r="J15" s="1048">
        <f>IF(ISNUMBER(Datos!BY15/Datos!CN15),Datos!BY15/Datos!CN15," - ")</f>
        <v>0</v>
      </c>
      <c r="K15" s="233">
        <f t="shared" ref="K15:K17" si="3">IF(ISNUMBER((E15-F15)/C15),(E15-F15)/C15," - ")</f>
        <v>7.0478723404255317E-2</v>
      </c>
      <c r="L15" s="1028">
        <f>IF(ISNUMBER(NºAsuntos!I15/NºAsuntos!G15),(NºAsuntos!I15/NºAsuntos!G15)*11," - ")</f>
        <v>13.335843373493976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210</v>
      </c>
      <c r="D17" s="228">
        <f>IF(ISNUMBER(IF(D_I="SI",Datos!I17,Datos!I17+Datos!AC17)),IF(D_I="SI",Datos!I17,Datos!I17+Datos!AC17)," - ")</f>
        <v>210</v>
      </c>
      <c r="E17" s="229">
        <f>IF(ISNUMBER(IF(D_I="SI",Datos!J17,Datos!J17+Datos!AD17)),IF(D_I="SI",Datos!J17,Datos!J17+Datos!AD17)," - ")</f>
        <v>487</v>
      </c>
      <c r="F17" s="229">
        <f>IF(ISNUMBER(IF(D_I="SI",Datos!K17,Datos!K17+Datos!AE17)),IF(D_I="SI",Datos!K17,Datos!K17+Datos!AE17)," - ")</f>
        <v>527</v>
      </c>
      <c r="G17" s="1037" t="str">
        <f>IF(Datos!E17&lt;&gt;"",Datos!E17,Datos!D17)</f>
        <v>37</v>
      </c>
      <c r="H17" s="230">
        <f>IF(ISNUMBER(IF(D_I="SI",Datos!L17,Datos!L17+Datos!AF17)),IF(D_I="SI",Datos!L17,Datos!L17+Datos!AF17)," - ")</f>
        <v>170</v>
      </c>
      <c r="I17" s="1047" t="str">
        <f>IF(ISNUMBER(Datos!AS17/Datos!BM17),Datos!AS17/Datos!BM17," - ")</f>
        <v xml:space="preserve"> - </v>
      </c>
      <c r="J17" s="1048" t="str">
        <f>IF(ISNUMBER((Datos!BY17+Datos!BZ17)/Datos!CN17),(Datos!BY17+Datos!BZ17)/Datos!CN17," - ")</f>
        <v xml:space="preserve"> - </v>
      </c>
      <c r="K17" s="233">
        <f t="shared" si="3"/>
        <v>-0.19047619047619047</v>
      </c>
      <c r="L17" s="1028">
        <f>IF(ISNUMBER(NºAsuntos!I17/NºAsuntos!G17),(NºAsuntos!I17/NºAsuntos!G17)*11," - ")</f>
        <v>3.5483870967741935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1714</v>
      </c>
      <c r="D18" s="1052">
        <f>SUBTOTAL(9,D15:D17)</f>
        <v>1714</v>
      </c>
      <c r="E18" s="1053">
        <f>SUBTOTAL(9,E15:E17)</f>
        <v>1921</v>
      </c>
      <c r="F18" s="1053">
        <f>SUBTOTAL(9,F15:F17)</f>
        <v>1855</v>
      </c>
      <c r="G18" s="1055" t="str">
        <f ca="1">INDIRECT(CONCATENATE("G",ROW()-1))</f>
        <v>37</v>
      </c>
      <c r="H18" s="1056">
        <f ca="1">SUMIF(G$14:G17,G18,H$14:H17)</f>
        <v>170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1820</v>
      </c>
      <c r="D19" s="1074">
        <f>SUBTOTAL(9,D9:D18)</f>
        <v>1820</v>
      </c>
      <c r="E19" s="1075">
        <f>SUBTOTAL(9,E9:E18)</f>
        <v>1979</v>
      </c>
      <c r="F19" s="1075">
        <f>SUBTOTAL(9,F9:F18)</f>
        <v>1869</v>
      </c>
      <c r="G19" s="1076"/>
      <c r="H19" s="1077">
        <f ca="1">SUMIF(B9:B18,"TOTAL",H9:H18)</f>
        <v>170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KOwOHn7+zZWnskYIG1TFoIB8Citvh9WZePDxJL8lghqhniBDQbiG7nVBk5cljm/5Zs9i1GF2p6eF17RIWNSlQ==" saltValue="R1W1rYyTmXpCHap2bI+z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9IyxwJA0ctQ9Qc3dIk+JUONVuO9Gy9kvX+OftP508MRxkWSwV+2JjO02LLFy+bNeYHuuPRGy4NzfVfRP9Qa+A==" saltValue="C3XwNKbjwxSJOUi9NOtu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2804</v>
      </c>
      <c r="J9" s="184">
        <v>1441</v>
      </c>
      <c r="K9" s="184">
        <v>1633</v>
      </c>
      <c r="L9" s="184">
        <v>2611</v>
      </c>
      <c r="M9" s="184">
        <v>614</v>
      </c>
      <c r="N9" s="184">
        <v>567</v>
      </c>
      <c r="O9" s="184">
        <v>695</v>
      </c>
      <c r="P9" s="184">
        <v>508</v>
      </c>
      <c r="Q9" s="184">
        <v>178</v>
      </c>
      <c r="R9" s="184">
        <v>3775</v>
      </c>
      <c r="S9" s="184">
        <v>0</v>
      </c>
      <c r="T9" s="184">
        <v>0</v>
      </c>
      <c r="U9" s="184">
        <v>0</v>
      </c>
      <c r="V9" s="184">
        <v>0</v>
      </c>
      <c r="W9" s="184">
        <v>0</v>
      </c>
      <c r="X9" s="191">
        <v>0</v>
      </c>
      <c r="Y9" s="194">
        <v>236</v>
      </c>
      <c r="Z9" s="184">
        <v>142</v>
      </c>
      <c r="AA9" s="184">
        <v>167</v>
      </c>
      <c r="AB9" s="184">
        <v>211</v>
      </c>
      <c r="AC9" s="184">
        <v>0</v>
      </c>
      <c r="AD9" s="184">
        <v>0</v>
      </c>
      <c r="AE9" s="184">
        <v>0</v>
      </c>
      <c r="AF9" s="191">
        <v>0</v>
      </c>
      <c r="AG9" s="194">
        <v>0</v>
      </c>
      <c r="AH9" s="184">
        <v>0</v>
      </c>
      <c r="AI9" s="184">
        <v>0</v>
      </c>
      <c r="AJ9" s="195">
        <v>0</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106</v>
      </c>
      <c r="J10" s="184">
        <v>58</v>
      </c>
      <c r="K10" s="184">
        <v>14</v>
      </c>
      <c r="L10" s="184">
        <v>150</v>
      </c>
      <c r="M10" s="184">
        <v>6</v>
      </c>
      <c r="N10" s="184">
        <v>0</v>
      </c>
      <c r="O10" s="184">
        <v>2</v>
      </c>
      <c r="P10" s="184">
        <v>3</v>
      </c>
      <c r="Q10" s="184">
        <v>0</v>
      </c>
      <c r="R10" s="184">
        <v>19</v>
      </c>
      <c r="S10" s="184">
        <v>50</v>
      </c>
      <c r="T10" s="184">
        <v>16</v>
      </c>
      <c r="U10" s="184">
        <v>20</v>
      </c>
      <c r="V10" s="184">
        <v>46</v>
      </c>
      <c r="W10" s="184">
        <v>8</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50</v>
      </c>
      <c r="AZ10" s="129">
        <f t="shared" si="0"/>
        <v>16</v>
      </c>
      <c r="BA10" s="129">
        <f t="shared" si="0"/>
        <v>20</v>
      </c>
      <c r="BB10" s="129">
        <f t="shared" si="0"/>
        <v>46</v>
      </c>
      <c r="BC10" s="125">
        <f t="shared" si="0"/>
        <v>8</v>
      </c>
      <c r="BD10" s="126">
        <f>IF(ISNUMBER(BA10/AZ10),BA10/AZ10," - ")</f>
        <v>1.25</v>
      </c>
      <c r="BE10" s="127">
        <f>IF(ISNUMBER(BB10/BA10),BB10/BA10, " - ")</f>
        <v>2.2999999999999998</v>
      </c>
      <c r="BF10" s="127">
        <f>IF(ISNUMBER(BC10/BA10),BC10/BA10, " - ")</f>
        <v>0.4</v>
      </c>
      <c r="BG10" s="199">
        <f>IF(ISNUMBER((AY10+AZ10)/BA10),(AY10+AZ10)/BA10," - ")</f>
        <v>3.3</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2910</v>
      </c>
      <c r="J13" s="187">
        <f t="shared" si="6"/>
        <v>1499</v>
      </c>
      <c r="K13" s="187">
        <f t="shared" si="6"/>
        <v>1647</v>
      </c>
      <c r="L13" s="187">
        <f t="shared" si="6"/>
        <v>2761</v>
      </c>
      <c r="M13" s="187">
        <f t="shared" si="6"/>
        <v>620</v>
      </c>
      <c r="N13" s="187">
        <f t="shared" si="6"/>
        <v>567</v>
      </c>
      <c r="O13" s="187">
        <f t="shared" si="6"/>
        <v>697</v>
      </c>
      <c r="P13" s="187">
        <f t="shared" si="6"/>
        <v>511</v>
      </c>
      <c r="Q13" s="187">
        <f t="shared" si="6"/>
        <v>178</v>
      </c>
      <c r="R13" s="187">
        <f t="shared" si="6"/>
        <v>3794</v>
      </c>
      <c r="S13" s="187">
        <f t="shared" si="6"/>
        <v>50</v>
      </c>
      <c r="T13" s="187">
        <f t="shared" si="6"/>
        <v>16</v>
      </c>
      <c r="U13" s="187">
        <f t="shared" si="6"/>
        <v>20</v>
      </c>
      <c r="V13" s="187">
        <f t="shared" si="6"/>
        <v>46</v>
      </c>
      <c r="W13" s="187">
        <f t="shared" si="6"/>
        <v>8</v>
      </c>
      <c r="X13" s="187">
        <f t="shared" si="6"/>
        <v>5</v>
      </c>
      <c r="Y13" s="187">
        <f t="shared" si="6"/>
        <v>236</v>
      </c>
      <c r="Z13" s="187">
        <f t="shared" si="6"/>
        <v>142</v>
      </c>
      <c r="AA13" s="187">
        <f t="shared" si="6"/>
        <v>167</v>
      </c>
      <c r="AB13" s="187">
        <f t="shared" si="6"/>
        <v>211</v>
      </c>
      <c r="AC13" s="187">
        <f t="shared" si="6"/>
        <v>0</v>
      </c>
      <c r="AD13" s="187">
        <f t="shared" si="6"/>
        <v>0</v>
      </c>
      <c r="AE13" s="187">
        <f t="shared" si="6"/>
        <v>0</v>
      </c>
      <c r="AF13" s="187">
        <f>SUBTOTAL(9,AF9:AF12)</f>
        <v>0</v>
      </c>
      <c r="AG13" s="187">
        <f t="shared" ref="AG13:AT13" si="7">SUBTOTAL(9,AG8:AG12)</f>
        <v>0</v>
      </c>
      <c r="AH13" s="187">
        <f t="shared" si="7"/>
        <v>0</v>
      </c>
      <c r="AI13" s="187">
        <f t="shared" si="7"/>
        <v>0</v>
      </c>
      <c r="AJ13" s="187">
        <f t="shared" si="7"/>
        <v>0</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50</v>
      </c>
      <c r="AZ13" s="187">
        <f>SUBTOTAL(9,AZ8:AZ12)</f>
        <v>16</v>
      </c>
      <c r="BA13" s="187">
        <f>SUBTOTAL(9,BA8:BA12)</f>
        <v>20</v>
      </c>
      <c r="BB13" s="187">
        <f>SUBTOTAL(9,BB8:BB12)</f>
        <v>46</v>
      </c>
      <c r="BC13" s="187">
        <f>SUBTOTAL(9,BC8:BC12)</f>
        <v>8</v>
      </c>
      <c r="BD13" s="208">
        <f>IF(ISNUMBER(BA13/AZ13),BA13/AZ13," - ")</f>
        <v>1.25</v>
      </c>
      <c r="BE13" s="209">
        <f>IF(ISNUMBER(BB13/BA13),BB13/BA13, " - ")</f>
        <v>2.2999999999999998</v>
      </c>
      <c r="BF13" s="209">
        <f>IF(ISNUMBER(BC13/BA13),BC13/BA13, " - ")</f>
        <v>0.4</v>
      </c>
      <c r="BG13" s="210">
        <f>IF(ISNUMBER((AY13+AZ13)/BA13),(AY13+AZ13)/BA13," - ")</f>
        <v>3.3</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1504</v>
      </c>
      <c r="J15" s="186">
        <v>1434</v>
      </c>
      <c r="K15" s="186">
        <v>1328</v>
      </c>
      <c r="L15" s="186">
        <v>1610</v>
      </c>
      <c r="M15" s="186">
        <v>287</v>
      </c>
      <c r="N15" s="186">
        <v>754</v>
      </c>
      <c r="O15" s="184">
        <v>32</v>
      </c>
      <c r="P15" s="186">
        <v>71</v>
      </c>
      <c r="Q15" s="186">
        <v>40</v>
      </c>
      <c r="R15" s="186">
        <v>138</v>
      </c>
      <c r="S15" s="186">
        <v>0</v>
      </c>
      <c r="T15" s="186">
        <v>0</v>
      </c>
      <c r="U15" s="186">
        <v>0</v>
      </c>
      <c r="V15" s="186">
        <v>0</v>
      </c>
      <c r="W15" s="186">
        <v>0</v>
      </c>
      <c r="X15" s="192">
        <v>0</v>
      </c>
      <c r="Y15" s="205">
        <v>0</v>
      </c>
      <c r="Z15" s="186">
        <v>0</v>
      </c>
      <c r="AA15" s="186">
        <v>0</v>
      </c>
      <c r="AB15" s="186">
        <v>0</v>
      </c>
      <c r="AC15" s="186">
        <v>9</v>
      </c>
      <c r="AD15" s="186">
        <v>19</v>
      </c>
      <c r="AE15" s="186">
        <v>18</v>
      </c>
      <c r="AF15" s="192">
        <v>10</v>
      </c>
      <c r="AG15" s="205">
        <v>0</v>
      </c>
      <c r="AH15" s="186">
        <v>0</v>
      </c>
      <c r="AI15" s="186">
        <v>0</v>
      </c>
      <c r="AJ15" s="206">
        <v>0</v>
      </c>
      <c r="AK15" s="185">
        <v>0</v>
      </c>
      <c r="AL15" s="186">
        <v>0</v>
      </c>
      <c r="AM15" s="186">
        <v>0</v>
      </c>
      <c r="AN15" s="192">
        <v>0</v>
      </c>
      <c r="AO15" s="262">
        <v>3</v>
      </c>
      <c r="AP15" s="158">
        <v>3</v>
      </c>
      <c r="AQ15" s="158">
        <v>3</v>
      </c>
      <c r="AR15" s="158">
        <v>3</v>
      </c>
      <c r="AS15" s="343" t="s">
        <v>531</v>
      </c>
      <c r="AT15" s="206" t="s">
        <v>329</v>
      </c>
      <c r="AU15" s="205"/>
      <c r="AV15" s="206"/>
      <c r="AW15" s="205"/>
      <c r="AX15" s="206"/>
      <c r="AY15" s="128">
        <f t="shared" ref="AY15:BB16"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210</v>
      </c>
      <c r="J17" s="186">
        <v>487</v>
      </c>
      <c r="K17" s="186">
        <v>527</v>
      </c>
      <c r="L17" s="186">
        <v>170</v>
      </c>
      <c r="M17" s="186">
        <v>74</v>
      </c>
      <c r="N17" s="186">
        <v>191</v>
      </c>
      <c r="O17" s="186">
        <v>0</v>
      </c>
      <c r="P17" s="186">
        <v>8</v>
      </c>
      <c r="Q17" s="186">
        <v>8</v>
      </c>
      <c r="R17" s="186">
        <v>2</v>
      </c>
      <c r="S17" s="186">
        <v>129</v>
      </c>
      <c r="T17" s="186">
        <v>179</v>
      </c>
      <c r="U17" s="186">
        <v>177</v>
      </c>
      <c r="V17" s="186">
        <v>131</v>
      </c>
      <c r="W17" s="186">
        <v>24</v>
      </c>
      <c r="X17" s="192">
        <v>81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129</v>
      </c>
      <c r="AZ17" s="129">
        <f t="shared" si="14"/>
        <v>179</v>
      </c>
      <c r="BA17" s="129">
        <f t="shared" si="14"/>
        <v>177</v>
      </c>
      <c r="BB17" s="129">
        <f t="shared" si="14"/>
        <v>131</v>
      </c>
      <c r="BC17" s="125">
        <f>IF(ISNUMBER(W17),W17," - ")</f>
        <v>24</v>
      </c>
      <c r="BD17" s="126">
        <f>IF(ISNUMBER(BA17/AZ17),BA17/AZ17," - ")</f>
        <v>0.98882681564245811</v>
      </c>
      <c r="BE17" s="127">
        <f>IF(ISNUMBER(BB17/BA17),BB17/BA17, " - ")</f>
        <v>0.74011299435028244</v>
      </c>
      <c r="BF17" s="127">
        <f>IF(ISNUMBER(BC17/BA17),BC17/BA17, " - ")</f>
        <v>0.13559322033898305</v>
      </c>
      <c r="BG17" s="199">
        <f>IF(ISNUMBER((AY17+AZ17)/BA17),(AY17+AZ17)/BA17," - ")</f>
        <v>1.7401129943502824</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1714</v>
      </c>
      <c r="J18" s="187">
        <f t="shared" si="15"/>
        <v>1921</v>
      </c>
      <c r="K18" s="187">
        <f t="shared" si="15"/>
        <v>1855</v>
      </c>
      <c r="L18" s="187">
        <f t="shared" si="15"/>
        <v>1780</v>
      </c>
      <c r="M18" s="187">
        <f t="shared" si="15"/>
        <v>361</v>
      </c>
      <c r="N18" s="187">
        <f t="shared" si="15"/>
        <v>945</v>
      </c>
      <c r="O18" s="187">
        <f t="shared" si="15"/>
        <v>32</v>
      </c>
      <c r="P18" s="187">
        <f t="shared" si="15"/>
        <v>79</v>
      </c>
      <c r="Q18" s="187">
        <f t="shared" si="15"/>
        <v>48</v>
      </c>
      <c r="R18" s="187">
        <f t="shared" si="15"/>
        <v>140</v>
      </c>
      <c r="S18" s="187">
        <f t="shared" si="15"/>
        <v>129</v>
      </c>
      <c r="T18" s="187">
        <f t="shared" si="15"/>
        <v>179</v>
      </c>
      <c r="U18" s="187">
        <f t="shared" si="15"/>
        <v>177</v>
      </c>
      <c r="V18" s="187">
        <f t="shared" si="15"/>
        <v>131</v>
      </c>
      <c r="W18" s="187">
        <f t="shared" si="15"/>
        <v>24</v>
      </c>
      <c r="X18" s="187">
        <f t="shared" si="15"/>
        <v>81</v>
      </c>
      <c r="Y18" s="187">
        <f t="shared" si="15"/>
        <v>0</v>
      </c>
      <c r="Z18" s="187">
        <f t="shared" si="15"/>
        <v>0</v>
      </c>
      <c r="AA18" s="187">
        <f t="shared" si="15"/>
        <v>0</v>
      </c>
      <c r="AB18" s="187">
        <f t="shared" si="15"/>
        <v>0</v>
      </c>
      <c r="AC18" s="187">
        <f t="shared" si="15"/>
        <v>9</v>
      </c>
      <c r="AD18" s="187">
        <f t="shared" si="15"/>
        <v>19</v>
      </c>
      <c r="AE18" s="187">
        <f t="shared" si="15"/>
        <v>18</v>
      </c>
      <c r="AF18" s="187">
        <f t="shared" si="15"/>
        <v>10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129</v>
      </c>
      <c r="AZ18" s="187">
        <f>SUBTOTAL(9,AZ14:AZ17)</f>
        <v>179</v>
      </c>
      <c r="BA18" s="187">
        <f>SUBTOTAL(9,BA14:BA17)</f>
        <v>177</v>
      </c>
      <c r="BB18" s="187">
        <f>SUBTOTAL(9,BB14:BB17)</f>
        <v>131</v>
      </c>
      <c r="BC18" s="187">
        <f>SUBTOTAL(9,BC14:BC17)</f>
        <v>24</v>
      </c>
      <c r="BD18" s="208">
        <f>IF(ISNUMBER(BA18/AZ18),BA18/AZ18," - ")</f>
        <v>0.98882681564245811</v>
      </c>
      <c r="BE18" s="209">
        <f>IF(ISNUMBER(BB18/BA18),BB18/BA18, " - ")</f>
        <v>0.74011299435028244</v>
      </c>
      <c r="BF18" s="209">
        <f>IF(ISNUMBER(BC18/BA18),BC18/BA18, " - ")</f>
        <v>0.13559322033898305</v>
      </c>
      <c r="BG18" s="210">
        <f>IF(ISNUMBER((AY18+AZ18)/BA18),(AY18+AZ18)/BA18," - ")</f>
        <v>1.7401129943502824</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4624</v>
      </c>
      <c r="J19" s="134">
        <f t="shared" si="18"/>
        <v>3420</v>
      </c>
      <c r="K19" s="134">
        <f t="shared" si="18"/>
        <v>3502</v>
      </c>
      <c r="L19" s="134">
        <f t="shared" si="18"/>
        <v>4541</v>
      </c>
      <c r="M19" s="134">
        <f t="shared" si="18"/>
        <v>981</v>
      </c>
      <c r="N19" s="134">
        <f t="shared" si="18"/>
        <v>1512</v>
      </c>
      <c r="O19" s="134">
        <f t="shared" si="18"/>
        <v>729</v>
      </c>
      <c r="P19" s="134">
        <f t="shared" si="18"/>
        <v>590</v>
      </c>
      <c r="Q19" s="134">
        <f t="shared" si="18"/>
        <v>226</v>
      </c>
      <c r="R19" s="134">
        <f t="shared" si="18"/>
        <v>3934</v>
      </c>
      <c r="S19" s="134">
        <f t="shared" si="18"/>
        <v>179</v>
      </c>
      <c r="T19" s="134">
        <f t="shared" si="18"/>
        <v>195</v>
      </c>
      <c r="U19" s="134">
        <f t="shared" si="18"/>
        <v>197</v>
      </c>
      <c r="V19" s="134">
        <f t="shared" si="18"/>
        <v>177</v>
      </c>
      <c r="W19" s="134">
        <f t="shared" si="18"/>
        <v>32</v>
      </c>
      <c r="X19" s="134">
        <f t="shared" si="18"/>
        <v>86</v>
      </c>
      <c r="Y19" s="134">
        <f t="shared" si="18"/>
        <v>236</v>
      </c>
      <c r="Z19" s="134">
        <f t="shared" si="18"/>
        <v>142</v>
      </c>
      <c r="AA19" s="134">
        <f t="shared" si="18"/>
        <v>167</v>
      </c>
      <c r="AB19" s="134">
        <f t="shared" si="18"/>
        <v>211</v>
      </c>
      <c r="AC19" s="134">
        <f t="shared" si="18"/>
        <v>9</v>
      </c>
      <c r="AD19" s="134">
        <f t="shared" si="18"/>
        <v>19</v>
      </c>
      <c r="AE19" s="134">
        <f t="shared" si="18"/>
        <v>18</v>
      </c>
      <c r="AF19" s="134">
        <f t="shared" si="18"/>
        <v>10</v>
      </c>
      <c r="AG19" s="134">
        <f t="shared" si="18"/>
        <v>0</v>
      </c>
      <c r="AH19" s="134">
        <f t="shared" si="18"/>
        <v>0</v>
      </c>
      <c r="AI19" s="134">
        <f t="shared" si="18"/>
        <v>0</v>
      </c>
      <c r="AJ19" s="134">
        <f t="shared" si="18"/>
        <v>0</v>
      </c>
      <c r="AK19" s="134">
        <f t="shared" si="18"/>
        <v>0</v>
      </c>
      <c r="AL19" s="134">
        <f t="shared" si="18"/>
        <v>0</v>
      </c>
      <c r="AM19" s="134">
        <f t="shared" si="18"/>
        <v>0</v>
      </c>
      <c r="AN19" s="213">
        <f t="shared" si="18"/>
        <v>0</v>
      </c>
      <c r="AO19" s="214">
        <v>10</v>
      </c>
      <c r="AP19" s="214">
        <v>9</v>
      </c>
      <c r="AQ19" s="214">
        <v>9</v>
      </c>
      <c r="AR19" s="214">
        <v>9</v>
      </c>
      <c r="AS19" s="156">
        <f t="shared" si="18"/>
        <v>0</v>
      </c>
      <c r="AT19" s="156">
        <f t="shared" si="18"/>
        <v>0</v>
      </c>
      <c r="AU19" s="214"/>
      <c r="AV19" s="215"/>
      <c r="AW19" s="214"/>
      <c r="AX19" s="215"/>
      <c r="AY19" s="133">
        <f>SUBTOTAL(9,AY9:AY18)</f>
        <v>179</v>
      </c>
      <c r="AZ19" s="134">
        <f>SUBTOTAL(9,AZ9:AZ18)</f>
        <v>195</v>
      </c>
      <c r="BA19" s="134">
        <f>SUBTOTAL(9,BA9:BA18)</f>
        <v>197</v>
      </c>
      <c r="BB19" s="134">
        <f>SUBTOTAL(9,BB9:BB18)</f>
        <v>177</v>
      </c>
      <c r="BC19" s="135">
        <f>SUBTOTAL(9,BC9:BC18)</f>
        <v>32</v>
      </c>
      <c r="BD19" s="216">
        <f>IF(ISNUMBER(BA19/AZ19),BA19/AZ19," - ")</f>
        <v>1.0102564102564102</v>
      </c>
      <c r="BE19" s="213">
        <f>IF(ISNUMBER(BB19/BA19),BB19/BA19, " - ")</f>
        <v>0.89847715736040612</v>
      </c>
      <c r="BF19" s="213">
        <f>IF(ISNUMBER(BC19/BA19),BC19/BA19, " - ")</f>
        <v>0.16243654822335024</v>
      </c>
      <c r="BG19" s="135">
        <f>IF(ISNUMBER((AY19+AZ19)/BA19),(AY19+AZ19)/BA19," - ")</f>
        <v>1.898477157360406</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A6OdHHpEi12Oi5AzzXmW06vjUQA7W62U+z1lsxyc9iKZ4dlj3LVxRfQ6Bl8gOMPQNOHO46h1GZBeED1rGaEJA==" saltValue="qxcaRVsiZ0hrjm2BRM9s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AYi8eSbFPRq0g5DcQ9qHrbS8YXVdoiE4TlJbwfQinzhanMbw2Jb/M39yz6OC0VgFyPD2TZfrsE/f2XxASJMow==" saltValue="LXBnmrS8ORKh/uIN+c6c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CACERES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142</v>
      </c>
      <c r="O9" s="337"/>
      <c r="P9" s="337"/>
      <c r="Q9" s="229">
        <f>IF(ISNUMBER(Datos!P9),Datos!P9,0)</f>
        <v>508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178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211</v>
      </c>
      <c r="AI9" s="337" t="str">
        <f>IF(ISNUMBER(Datos!CD9),Datos!CD9,"-")</f>
        <v>-</v>
      </c>
      <c r="AJ9" s="337" t="str">
        <f>IF(ISNUMBER(Datos!EN9),Datos!EN9," - ")</f>
        <v xml:space="preserve"> - </v>
      </c>
      <c r="AK9" s="337"/>
      <c r="AL9" s="482"/>
      <c r="AM9" s="338">
        <f>IF(ISNUMBER(Datos!R9),Datos!R9," - ")</f>
        <v>3775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614</v>
      </c>
      <c r="BD9" s="232">
        <f>IF(ISNUMBER(Datos!N9),Datos!N9," - ")</f>
        <v>567</v>
      </c>
      <c r="BE9" s="232" t="str">
        <f>IF(ISNUMBER(Datos!BW9),Datos!BW9," - ")</f>
        <v xml:space="preserve"> - </v>
      </c>
      <c r="BF9" s="231" t="str">
        <f>IF(ISNUMBER(Datos!BX9),Datos!BX9," - ")</f>
        <v xml:space="preserve"> - </v>
      </c>
      <c r="BG9" s="246">
        <f>IF(ISNUMBER(IF(J_V="SI",Datos!K9/Datos!J9,(Datos!K9+Datos!AA9)/(Datos!J9+Datos!Z9))),IF(J_V="SI",Datos!K9/Datos!J9,(Datos!K9+Datos!AA9)/(Datos!J9+Datos!Z9))," - ")</f>
        <v>1.137081490840177</v>
      </c>
      <c r="BH9" s="263">
        <f>IF(ISNUMBER(((IF(J_V="SI",Datos!L9/Datos!K9,(Datos!L9+Datos!AB9)/(Datos!K9+Datos!AA9)))*11)/factor_trimestre),((IF(J_V="SI",Datos!L9/Datos!K9,(Datos!L9+Datos!AB9)/(Datos!K9+Datos!AA9)))*11)/factor_trimestre," - ")</f>
        <v>4.7033333333333331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9.579100145137881E-2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106</v>
      </c>
      <c r="G10" s="336">
        <f>IF(ISNUMBER(Datos!I10),Datos!I10," - ")</f>
        <v>106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0</v>
      </c>
      <c r="AD10" s="337"/>
      <c r="AE10" s="487"/>
      <c r="AF10" s="335">
        <f>IF(ISNUMBER(Datos!L10),Datos!L10,"-")</f>
        <v>150</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0.2413793103448276</v>
      </c>
      <c r="BH10" s="263">
        <f>IF(ISNUMBER(((Datos!L10/Datos!K10)*11)/factor_trimestre),((Datos!L10/Datos!K10)*11)/factor_trimestre," - ")</f>
        <v>32.142857142857139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0.1875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106</v>
      </c>
      <c r="G13" s="901">
        <f t="shared" si="0"/>
        <v>106</v>
      </c>
      <c r="H13" s="902">
        <f t="shared" si="0"/>
        <v>0</v>
      </c>
      <c r="I13" s="901">
        <f t="shared" si="0"/>
        <v>0</v>
      </c>
      <c r="J13" s="870">
        <f t="shared" si="0"/>
        <v>0</v>
      </c>
      <c r="K13" s="870">
        <f t="shared" si="0"/>
        <v>0</v>
      </c>
      <c r="L13" s="902">
        <f t="shared" si="0"/>
        <v>0</v>
      </c>
      <c r="M13" s="902">
        <f t="shared" si="0"/>
        <v>0</v>
      </c>
      <c r="N13" s="902">
        <f t="shared" si="0"/>
        <v>142</v>
      </c>
      <c r="O13" s="903">
        <f t="shared" si="0"/>
        <v>0</v>
      </c>
      <c r="P13" s="903">
        <f t="shared" si="0"/>
        <v>0</v>
      </c>
      <c r="Q13" s="902">
        <f t="shared" si="0"/>
        <v>511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178</v>
      </c>
      <c r="AD13" s="902">
        <f t="shared" si="1"/>
        <v>0</v>
      </c>
      <c r="AE13" s="902">
        <f t="shared" si="1"/>
        <v>0</v>
      </c>
      <c r="AF13" s="902">
        <f t="shared" si="1"/>
        <v>150</v>
      </c>
      <c r="AG13" s="902">
        <f t="shared" si="1"/>
        <v>0</v>
      </c>
      <c r="AH13" s="902">
        <f t="shared" si="1"/>
        <v>211</v>
      </c>
      <c r="AI13" s="902">
        <f t="shared" si="1"/>
        <v>0</v>
      </c>
      <c r="AJ13" s="902">
        <f t="shared" si="1"/>
        <v>0</v>
      </c>
      <c r="AK13" s="902">
        <f t="shared" si="1"/>
        <v>0</v>
      </c>
      <c r="AL13" s="902">
        <f t="shared" si="1"/>
        <v>0</v>
      </c>
      <c r="AM13" s="902">
        <f t="shared" si="1"/>
        <v>3794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620</v>
      </c>
      <c r="BD13" s="902">
        <f t="shared" si="1"/>
        <v>567</v>
      </c>
      <c r="BE13" s="902">
        <f t="shared" si="1"/>
        <v>0</v>
      </c>
      <c r="BF13" s="902">
        <f t="shared" si="1"/>
        <v>0</v>
      </c>
      <c r="BG13" s="902">
        <f>IF(ISNUMBER(Datos!K13/Datos!J13),Datos!K13/Datos!J13," - ")</f>
        <v>1.0987324883255503</v>
      </c>
      <c r="BH13" s="906">
        <f>IF(ISNUMBER(((Datos!L13/Datos!K13)*11)/factor_trimestre),((Datos!L13/Datos!K13)*11)/factor_trimestre," - ")</f>
        <v>5.0291438979963576</v>
      </c>
      <c r="BI13" s="902">
        <f>IF(ISNUMBER('Resol  Asuntos'!D13/NºAsuntos!G13),'Resol  Asuntos'!D13/NºAsuntos!G13," - ")</f>
        <v>0.34178610804851156</v>
      </c>
      <c r="BJ13" s="902" t="str">
        <f>IF(ISNUMBER(Datos!CI13/Datos!CJ13),Datos!CI13/Datos!CJ13," - ")</f>
        <v xml:space="preserve"> - </v>
      </c>
      <c r="BK13" s="902">
        <f>SUBTOTAL(9,BK8:BK12)</f>
        <v>0</v>
      </c>
      <c r="BL13" s="902">
        <f>IF(ISNUMBER((I13-AB13+L13)/(F13)),(I13-AB13+L13)/(F13)," - ")</f>
        <v>-0.13207547169811321</v>
      </c>
      <c r="BM13" s="907">
        <f>SUBTOTAL(9,BM9:BM12)</f>
        <v>0.28329100145137881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1504</v>
      </c>
      <c r="G15" s="601">
        <f>IF(ISNUMBER(IF(D_I="SI",Datos!I15,Datos!I15+Datos!AC15)),IF(D_I="SI",Datos!I15,Datos!I15+Datos!AC15)," - ")</f>
        <v>1504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1328</v>
      </c>
      <c r="AC15" s="229">
        <f>IF(ISNUMBER(Datos!Q15),Datos!Q15," - ")</f>
        <v>40</v>
      </c>
      <c r="AD15" s="337"/>
      <c r="AE15" s="487"/>
      <c r="AF15" s="599">
        <f>IF(ISNUMBER(IF(D_I="SI",Datos!L15,Datos!L15+Datos!AF15)),IF(D_I="SI",Datos!L15,Datos!L15+Datos!AF15)," - ")</f>
        <v>1610</v>
      </c>
      <c r="AG15" s="337"/>
      <c r="AH15" s="337"/>
      <c r="AI15" s="337"/>
      <c r="AJ15" s="337"/>
      <c r="AK15" s="337"/>
      <c r="AL15" s="482"/>
      <c r="AM15" s="338">
        <f>IF(ISNUMBER(Datos!R15),Datos!R15," - ")</f>
        <v>138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287</v>
      </c>
      <c r="BD15" s="232">
        <f>IF(ISNUMBER(Datos!N15),Datos!N15," - ")</f>
        <v>754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0.92608089260808923</v>
      </c>
      <c r="BH15" s="263">
        <f>IF(ISNUMBER(((IF(D_I="SI",Datos!L15/Datos!K15,(Datos!L15+Datos!AF15)/(Datos!K15+Datos!AE15)))*11)/factor_trimestre),((IF(D_I="SI",Datos!L15/Datos!K15,(Datos!L15+Datos!AF15)/(Datos!K15+Datos!AE15)))*11)/factor_trimestre," - ")</f>
        <v>3.6370481927710845</v>
      </c>
      <c r="BI15" s="246">
        <f>IF(ISNUMBER('Resol  Asuntos'!D15/NºAsuntos!G15),'Resol  Asuntos'!D15/NºAsuntos!G15," - ")</f>
        <v>0.2161144578313253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527</v>
      </c>
      <c r="AC17" s="229">
        <f>IF(ISNUMBER(Datos!Q17),Datos!Q17," - ")</f>
        <v>8</v>
      </c>
      <c r="AD17" s="337"/>
      <c r="AE17" s="487"/>
      <c r="AF17" s="335">
        <f>IF(ISNUMBER(Datos!L17),Datos!L17,"-")</f>
        <v>170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74</v>
      </c>
      <c r="BD17" s="232">
        <f>IF(ISNUMBER(Datos!N17),Datos!N17," - ")</f>
        <v>191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1.0821355236139631</v>
      </c>
      <c r="BH17" s="263">
        <f>IF(ISNUMBER(((IF(D_I="SI",Datos!L17/Datos!K17,(Datos!L17+Datos!AF17)/(Datos!K17+Datos!AE17)))*11)/factor_trimestre),((IF(D_I="SI",Datos!L17/Datos!K17,(Datos!L17+Datos!AF17)/(Datos!K17+Datos!AE17)))*11)/factor_trimestre," - ")</f>
        <v>0.967741935483871</v>
      </c>
      <c r="BI17" s="246">
        <f>IF(ISNUMBER('Resol  Asuntos'!D17/NºAsuntos!G17),'Resol  Asuntos'!D17/NºAsuntos!G17," - ")</f>
        <v>0.14041745730550284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1504</v>
      </c>
      <c r="G18" s="901">
        <f>SUBTOTAL(9,G15:G17)</f>
        <v>1714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1855</v>
      </c>
      <c r="AC18" s="902">
        <f t="shared" si="4"/>
        <v>48</v>
      </c>
      <c r="AD18" s="902">
        <f t="shared" si="4"/>
        <v>0</v>
      </c>
      <c r="AE18" s="902">
        <f t="shared" si="4"/>
        <v>0</v>
      </c>
      <c r="AF18" s="902">
        <f t="shared" si="4"/>
        <v>1780</v>
      </c>
      <c r="AG18" s="902">
        <f t="shared" si="4"/>
        <v>0</v>
      </c>
      <c r="AH18" s="902">
        <f t="shared" si="4"/>
        <v>0</v>
      </c>
      <c r="AI18" s="902">
        <f t="shared" si="4"/>
        <v>0</v>
      </c>
      <c r="AJ18" s="902">
        <f t="shared" si="4"/>
        <v>0</v>
      </c>
      <c r="AK18" s="902">
        <f t="shared" si="4"/>
        <v>0</v>
      </c>
      <c r="AL18" s="902">
        <f t="shared" si="4"/>
        <v>0</v>
      </c>
      <c r="AM18" s="902">
        <f t="shared" si="4"/>
        <v>140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361</v>
      </c>
      <c r="BD18" s="902">
        <f t="shared" si="4"/>
        <v>945</v>
      </c>
      <c r="BE18" s="902">
        <f t="shared" si="4"/>
        <v>0</v>
      </c>
      <c r="BF18" s="902">
        <f t="shared" si="4"/>
        <v>0</v>
      </c>
      <c r="BG18" s="902">
        <f>IF(ISNUMBER(Datos!K18/Datos!J18),Datos!K18/Datos!J18," - ")</f>
        <v>0.96564289432587191</v>
      </c>
      <c r="BH18" s="906">
        <f>IF(ISNUMBER(((Datos!L18/Datos!K18)*11)/factor_trimestre),((Datos!L18/Datos!K18)*11)/factor_trimestre," - ")</f>
        <v>2.8787061994609164</v>
      </c>
      <c r="BI18" s="902">
        <f>SUBTOTAL(9,BI15:BI17)</f>
        <v>0.35653191513682814</v>
      </c>
      <c r="BJ18" s="902">
        <f>SUBTOTAL(9,BJ15:BJ17)</f>
        <v>0</v>
      </c>
      <c r="BK18" s="902">
        <f>SUBTOTAL(9,BK15:BK17)</f>
        <v>0</v>
      </c>
      <c r="BL18" s="902">
        <f>IF(ISNUMBER((I18-AB18+L18)/(F18)),(I18-AB18+L18)/(F18)," - ")</f>
        <v>-1.2333776595744681</v>
      </c>
      <c r="BM18" s="908">
        <f>IF(ISNUMBER((Datos!P18-Datos!Q18)/(Datos!R18-Datos!P18+Datos!Q18)),(Datos!P18-Datos!Q18)/(Datos!R18-Datos!P18+Datos!Q18)," - ")</f>
        <v>0.28440366972477066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1610</v>
      </c>
      <c r="G19" s="823">
        <f t="shared" si="6"/>
        <v>1820</v>
      </c>
      <c r="H19" s="825">
        <f t="shared" si="6"/>
        <v>0</v>
      </c>
      <c r="I19" s="823">
        <f t="shared" si="6"/>
        <v>0</v>
      </c>
      <c r="J19" s="825">
        <f t="shared" si="6"/>
        <v>0</v>
      </c>
      <c r="K19" s="825">
        <f t="shared" si="6"/>
        <v>0</v>
      </c>
      <c r="L19" s="884">
        <f t="shared" si="6"/>
        <v>0</v>
      </c>
      <c r="M19" s="884">
        <f t="shared" si="6"/>
        <v>0</v>
      </c>
      <c r="N19" s="884">
        <f t="shared" si="6"/>
        <v>142</v>
      </c>
      <c r="O19" s="884">
        <f t="shared" si="6"/>
        <v>0</v>
      </c>
      <c r="P19" s="884">
        <f t="shared" si="6"/>
        <v>0</v>
      </c>
      <c r="Q19" s="825">
        <f t="shared" si="6"/>
        <v>590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1869</v>
      </c>
      <c r="AC19" s="824">
        <f t="shared" si="7"/>
        <v>226</v>
      </c>
      <c r="AD19" s="824">
        <f t="shared" si="7"/>
        <v>0</v>
      </c>
      <c r="AE19" s="824">
        <f t="shared" si="7"/>
        <v>0</v>
      </c>
      <c r="AF19" s="831">
        <f t="shared" si="7"/>
        <v>1930</v>
      </c>
      <c r="AG19" s="831">
        <f t="shared" si="7"/>
        <v>0</v>
      </c>
      <c r="AH19" s="831">
        <f t="shared" si="7"/>
        <v>211</v>
      </c>
      <c r="AI19" s="831">
        <f t="shared" si="7"/>
        <v>0</v>
      </c>
      <c r="AJ19" s="824">
        <f t="shared" si="7"/>
        <v>0</v>
      </c>
      <c r="AK19" s="831">
        <f t="shared" si="7"/>
        <v>0</v>
      </c>
      <c r="AL19" s="831">
        <f t="shared" si="7"/>
        <v>0</v>
      </c>
      <c r="AM19" s="831">
        <f t="shared" si="7"/>
        <v>3934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981</v>
      </c>
      <c r="BD19" s="823">
        <f t="shared" si="7"/>
        <v>1512</v>
      </c>
      <c r="BE19" s="823">
        <f t="shared" si="7"/>
        <v>0</v>
      </c>
      <c r="BF19" s="833">
        <f t="shared" si="7"/>
        <v>0</v>
      </c>
      <c r="BG19" s="918">
        <f>IF(ISNUMBER(Datos!K19/Datos!J19),Datos!K19/Datos!J19," - ")</f>
        <v>1.0239766081871344</v>
      </c>
      <c r="BH19" s="918">
        <f>IF(ISNUMBER(((Datos!L19/Datos!K19)*11)/factor_trimestre),((Datos!L19/Datos!K19)*11)/factor_trimestre," - ")</f>
        <v>3.890062821245003</v>
      </c>
      <c r="BI19" s="816">
        <f>IF(ISNUMBER(Datos!J19/Datos!I19),Datos!J19/Datos!I19," - ")</f>
        <v>0.73961937716262971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-1.1608695652173913</v>
      </c>
      <c r="BM19" s="892">
        <f>IF(ISNUMBER((Datos!P19-Datos!Q19+R19)/(Datos!R19-Datos!P19+Datos!Q19-R19)),(Datos!P19-Datos!Q19+R19)/(Datos!R19-Datos!P19+Datos!Q19-R19)," - ")</f>
        <v>0.10196078431372549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2.3333333333333335</v>
      </c>
      <c r="F21" s="554">
        <f>IF(ISNUMBER(STDEV(F8:F18)),STDEV(F8:F18),"-")</f>
        <v>807.1356763270968</v>
      </c>
      <c r="G21" s="555">
        <f>IF(ISNUMBER(STDEV(G8:G18)),STDEV(G8:G18),"-")</f>
        <v>808.77438139446531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819.78674056122668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260.00923060537679</v>
      </c>
      <c r="BD21" s="554"/>
      <c r="BE21" s="554">
        <f>IF(ISNUMBER(STDEV(BE8:BE18)),STDEV(BE8:BE18),"-")</f>
        <v>0</v>
      </c>
      <c r="BF21" s="559">
        <f>IF(ISNUMBER(STDEV(BF8:BF18)),STDEV(BF8:BF18),"-")</f>
        <v>0</v>
      </c>
      <c r="BG21" s="778">
        <f>IF(ISNUMBER(STDEV(BG8:BG18)),STDEV(BG8:BG18),"-")</f>
        <v>0.33681199648814258</v>
      </c>
      <c r="BH21" s="779">
        <f>IF(ISNUMBER(STDEV(BH8:BH18)),STDEV(BH8:BH18),"-")</f>
        <v>11.806603774559278</v>
      </c>
      <c r="BI21" s="252">
        <f>IF(ISNUMBER(STDEV(BI8:BI18)),STDEV(BI8:BI18),"-")</f>
        <v>0.10356668265966502</v>
      </c>
      <c r="BJ21" s="233" t="str">
        <f>IF(ISNUMBER(BL21/BM21),BL21/BM21," - ")</f>
        <v xml:space="preserve"> - </v>
      </c>
      <c r="BK21" s="578"/>
      <c r="BL21" s="562">
        <f>IF(ISNUMBER(STDEV(BL8:BL18)),STDEV(BL8:BL18),"-")</f>
        <v>0.77873824518295176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h5ua3YLyjS+3BRj43NpTMlV/iHo+OQPszeuHuFPdWqaB/A0UN33bbz93oEM8MoGCbFzLyn36EzcSSf2MlA+9g==" saltValue="ARXRd2VRZVNm2YdR+QKH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CACERES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508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178</v>
      </c>
      <c r="AA9" s="335" t="str">
        <f>IF(ISNUMBER(IF(J_V="SI",Datos!L9,Datos!L9+Datos!AB9)-IF(Monitorios="SI",Datos!CD9,0)),
                          IF(J_V="SI",Datos!L9,Datos!L9+Datos!AB9)-IF(Monitorios="SI",Datos!CD9,0),
                          " - ")</f>
        <v xml:space="preserve"> - </v>
      </c>
      <c r="AB9" s="337"/>
      <c r="AC9" s="337"/>
      <c r="AD9" s="487"/>
      <c r="AE9" s="487">
        <f>IF(ISNUMBER(Datos!R9),Datos!R9," - ")</f>
        <v>3775</v>
      </c>
      <c r="AF9" s="232" t="str">
        <f>IF(ISNUMBER(Datos!BV9),Datos!BV9," - ")</f>
        <v xml:space="preserve"> - </v>
      </c>
      <c r="AG9" s="228" t="str">
        <f>IF(ISNUMBER(Datos!DV9),Datos!DV9," - ")</f>
        <v xml:space="preserve"> - </v>
      </c>
      <c r="AH9" s="301"/>
      <c r="AI9" s="230"/>
      <c r="AJ9" s="228">
        <f>IF(ISNUMBER(Datos!M9),Datos!M9," - ")</f>
        <v>614</v>
      </c>
      <c r="AK9" s="232">
        <f>IF(ISNUMBER(Datos!N9),Datos!N9," - ")</f>
        <v>567</v>
      </c>
      <c r="AL9" s="232" t="str">
        <f>IF(ISNUMBER(Datos!BW9),Datos!BW9," - ")</f>
        <v xml:space="preserve"> - </v>
      </c>
      <c r="AM9" s="231" t="str">
        <f>IF(ISNUMBER(Datos!BX9),Datos!BX9," - ")</f>
        <v xml:space="preserve"> - </v>
      </c>
      <c r="AN9" s="246"/>
      <c r="AO9" s="263">
        <f>IF(ISNUMBER(((NºAsuntos!I9/NºAsuntos!G9)*11)/factor_trimestre),((NºAsuntos!I9/NºAsuntos!G9)*11)/factor_trimestre," - ")</f>
        <v>4.7033333333333331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9.579100145137881E-2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106</v>
      </c>
      <c r="G10" s="228">
        <f>IF(ISNUMBER(Datos!I10),Datos!I10," - ")</f>
        <v>106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0</v>
      </c>
      <c r="AA10" s="335">
        <f>IF(ISNUMBER(Datos!L10),Datos!L10,"-")</f>
        <v>150</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32.142857142857139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0.1875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106</v>
      </c>
      <c r="G13" s="901">
        <f>SUBTOTAL(9,G8:G12)</f>
        <v>106</v>
      </c>
      <c r="H13" s="911"/>
      <c r="I13" s="901">
        <f t="shared" ref="I13:N13" si="0">SUBTOTAL(9,I8:I12)</f>
        <v>0</v>
      </c>
      <c r="J13" s="870">
        <f t="shared" si="0"/>
        <v>0</v>
      </c>
      <c r="K13" s="911">
        <f t="shared" si="0"/>
        <v>0</v>
      </c>
      <c r="L13" s="911">
        <f t="shared" si="0"/>
        <v>0</v>
      </c>
      <c r="M13" s="911">
        <f t="shared" si="0"/>
        <v>0</v>
      </c>
      <c r="N13" s="911">
        <f t="shared" si="0"/>
        <v>511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178</v>
      </c>
      <c r="AA13" s="903">
        <f t="shared" si="2"/>
        <v>150</v>
      </c>
      <c r="AB13" s="903">
        <f t="shared" si="2"/>
        <v>0</v>
      </c>
      <c r="AC13" s="903">
        <f t="shared" si="2"/>
        <v>0</v>
      </c>
      <c r="AD13" s="903">
        <f t="shared" si="2"/>
        <v>0</v>
      </c>
      <c r="AE13" s="903">
        <f t="shared" si="2"/>
        <v>3794</v>
      </c>
      <c r="AF13" s="911">
        <f t="shared" si="2"/>
        <v>0</v>
      </c>
      <c r="AG13" s="911">
        <f t="shared" si="2"/>
        <v>0</v>
      </c>
      <c r="AH13" s="911">
        <f t="shared" si="2"/>
        <v>0</v>
      </c>
      <c r="AI13" s="911">
        <f t="shared" si="2"/>
        <v>0</v>
      </c>
      <c r="AJ13" s="911">
        <f t="shared" si="2"/>
        <v>620</v>
      </c>
      <c r="AK13" s="911">
        <f t="shared" si="2"/>
        <v>567</v>
      </c>
      <c r="AL13" s="911">
        <f t="shared" si="2"/>
        <v>0</v>
      </c>
      <c r="AM13" s="911">
        <f t="shared" si="2"/>
        <v>0</v>
      </c>
      <c r="AN13" s="911">
        <f t="shared" si="2"/>
        <v>0</v>
      </c>
      <c r="AO13" s="907">
        <f>IF(ISNUMBER(((NºAsuntos!I13/NºAsuntos!G13)*11)/factor_trimestre),((NºAsuntos!I13/NºAsuntos!G13)*11)/factor_trimestre," - ")</f>
        <v>4.9151047409040798</v>
      </c>
      <c r="AP13" s="913" t="str">
        <f>IF(ISNUMBER(Datos!CI13/Datos!CJ13),Datos!CI13/Datos!CJ13," - ")</f>
        <v xml:space="preserve"> - </v>
      </c>
      <c r="AQ13" s="931">
        <f t="shared" ref="AQ13:AV13" si="3">SUBTOTAL(9,AQ9:AQ12)</f>
        <v>0</v>
      </c>
      <c r="AR13" s="931">
        <f t="shared" si="3"/>
        <v>0.28329100145137881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1504</v>
      </c>
      <c r="G15" s="228">
        <f>IF(ISNUMBER(IF(D_I="SI",Datos!I15,Datos!I15+Datos!AC15)),IF(D_I="SI",Datos!I15,Datos!I15+Datos!AC15)," - ")</f>
        <v>1504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1328</v>
      </c>
      <c r="Z15" s="622">
        <f>IF(ISNUMBER(Datos!Q15),Datos!Q15," - ")</f>
        <v>40</v>
      </c>
      <c r="AA15" s="335">
        <f>IF(ISNUMBER(IF(D_I="SI",Datos!L15,Datos!L15+Datos!AF15)),IF(D_I="SI",Datos!L15,Datos!L15+Datos!AF15)," - ")</f>
        <v>1610</v>
      </c>
      <c r="AB15" s="337"/>
      <c r="AC15" s="337"/>
      <c r="AD15" s="487"/>
      <c r="AE15" s="487">
        <f>IF(ISNUMBER(Datos!R15),Datos!R15," - ")</f>
        <v>138</v>
      </c>
      <c r="AF15" s="232" t="str">
        <f>IF(ISNUMBER(Datos!BV15),Datos!BV15," - ")</f>
        <v xml:space="preserve"> - </v>
      </c>
      <c r="AG15" s="228"/>
      <c r="AH15" s="301"/>
      <c r="AI15" s="230"/>
      <c r="AJ15" s="228">
        <f>IF(ISNUMBER(Datos!M15),Datos!M15," - ")</f>
        <v>287</v>
      </c>
      <c r="AK15" s="232">
        <f>IF(ISNUMBER(Datos!N15),Datos!N15," - ")</f>
        <v>754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3.6370481927710845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527</v>
      </c>
      <c r="Z17" s="622">
        <f>IF(ISNUMBER(Datos!Q17),Datos!Q17," - ")</f>
        <v>8</v>
      </c>
      <c r="AA17" s="335">
        <f>IF(ISNUMBER(Datos!L17),Datos!L17,"-")</f>
        <v>170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74</v>
      </c>
      <c r="AK17" s="232">
        <f>IF(ISNUMBER(Datos!N17),Datos!N17," - ")</f>
        <v>191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0.967741935483871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1504</v>
      </c>
      <c r="G18" s="901">
        <f>SUBTOTAL(9,G15:G17)</f>
        <v>1714</v>
      </c>
      <c r="H18" s="935">
        <f>SUBTOTAL(9,H15:H17)</f>
        <v>0</v>
      </c>
      <c r="I18" s="914">
        <f>SUBTOTAL(9,I15:I17)</f>
        <v>0</v>
      </c>
      <c r="J18" s="870">
        <f>SUBTOTAL(9,J14:J17)</f>
        <v>0</v>
      </c>
      <c r="K18" s="935">
        <f t="shared" ref="K18:S18" si="4">SUBTOTAL(9,K15:K17)</f>
        <v>0</v>
      </c>
      <c r="L18" s="935">
        <f t="shared" si="4"/>
        <v>0</v>
      </c>
      <c r="M18" s="935">
        <f t="shared" si="4"/>
        <v>0</v>
      </c>
      <c r="N18" s="935">
        <f t="shared" si="4"/>
        <v>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1855</v>
      </c>
      <c r="Z18" s="935">
        <f t="shared" si="5"/>
        <v>48</v>
      </c>
      <c r="AA18" s="935">
        <f t="shared" si="5"/>
        <v>1780</v>
      </c>
      <c r="AB18" s="935">
        <f t="shared" si="5"/>
        <v>0</v>
      </c>
      <c r="AC18" s="935">
        <f t="shared" si="5"/>
        <v>0</v>
      </c>
      <c r="AD18" s="935">
        <f t="shared" si="5"/>
        <v>0</v>
      </c>
      <c r="AE18" s="935">
        <f t="shared" si="5"/>
        <v>140</v>
      </c>
      <c r="AF18" s="935">
        <f t="shared" si="5"/>
        <v>0</v>
      </c>
      <c r="AG18" s="935">
        <f t="shared" si="5"/>
        <v>0</v>
      </c>
      <c r="AH18" s="935">
        <f t="shared" si="5"/>
        <v>0</v>
      </c>
      <c r="AI18" s="935">
        <f t="shared" si="5"/>
        <v>0</v>
      </c>
      <c r="AJ18" s="935">
        <f t="shared" si="5"/>
        <v>361</v>
      </c>
      <c r="AK18" s="935">
        <f t="shared" si="5"/>
        <v>945</v>
      </c>
      <c r="AL18" s="935">
        <f t="shared" si="5"/>
        <v>0</v>
      </c>
      <c r="AM18" s="935">
        <f t="shared" si="5"/>
        <v>0</v>
      </c>
      <c r="AN18" s="935">
        <f t="shared" si="5"/>
        <v>0</v>
      </c>
      <c r="AO18" s="937">
        <f>IF(ISNUMBER(((NºAsuntos!I18/NºAsuntos!G18)*11)/factor_trimestre),((NºAsuntos!I18/NºAsuntos!G18)*11)/factor_trimestre," - ")</f>
        <v>2.8787061994609164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1610</v>
      </c>
      <c r="G19" s="823">
        <f t="shared" si="7"/>
        <v>1820</v>
      </c>
      <c r="H19" s="824">
        <f t="shared" si="7"/>
        <v>0</v>
      </c>
      <c r="I19" s="823">
        <f t="shared" si="7"/>
        <v>0</v>
      </c>
      <c r="J19" s="825">
        <f t="shared" si="7"/>
        <v>0</v>
      </c>
      <c r="K19" s="823">
        <f t="shared" si="7"/>
        <v>0</v>
      </c>
      <c r="L19" s="826">
        <f t="shared" si="7"/>
        <v>0</v>
      </c>
      <c r="M19" s="823">
        <f t="shared" si="7"/>
        <v>0</v>
      </c>
      <c r="N19" s="824">
        <f t="shared" si="7"/>
        <v>590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1869</v>
      </c>
      <c r="Z19" s="830">
        <f t="shared" si="8"/>
        <v>226</v>
      </c>
      <c r="AA19" s="831">
        <f t="shared" si="8"/>
        <v>1930</v>
      </c>
      <c r="AB19" s="831">
        <f t="shared" si="8"/>
        <v>0</v>
      </c>
      <c r="AC19" s="831">
        <f t="shared" si="8"/>
        <v>0</v>
      </c>
      <c r="AD19" s="832">
        <f t="shared" si="8"/>
        <v>0</v>
      </c>
      <c r="AE19" s="832">
        <f t="shared" si="8"/>
        <v>3934</v>
      </c>
      <c r="AF19" s="833">
        <f t="shared" si="8"/>
        <v>0</v>
      </c>
      <c r="AG19" s="834">
        <f t="shared" si="8"/>
        <v>0</v>
      </c>
      <c r="AH19" s="835">
        <f t="shared" si="8"/>
        <v>0</v>
      </c>
      <c r="AI19" s="833">
        <f t="shared" si="8"/>
        <v>0</v>
      </c>
      <c r="AJ19" s="823">
        <f t="shared" si="8"/>
        <v>981</v>
      </c>
      <c r="AK19" s="823">
        <f t="shared" si="8"/>
        <v>1512</v>
      </c>
      <c r="AL19" s="823">
        <f t="shared" si="8"/>
        <v>0</v>
      </c>
      <c r="AM19" s="836">
        <f t="shared" si="8"/>
        <v>0</v>
      </c>
      <c r="AN19" s="826">
        <f>IF(ISNUMBER(Datos!K19/Datos!J19),Datos!K19/Datos!J19," - ")</f>
        <v>1.0239766081871344</v>
      </c>
      <c r="AO19" s="826">
        <f>IF(ISNUMBER(FIND("06",Criterios!A8,1)),(IF(ISNUMBER(((Datos!R19/Datos!Q19)*11)/factor_trimestre),((Datos!R19/Datos!Q19)*11)/factor_trimestre," - ")),(IF(ISNUMBER(((Datos!L19/Datos!K19)*11)/factor_trimestre),((Datos!L19/Datos!K19)*11)/factor_trimestre," - ")))</f>
        <v>3.890062821245003</v>
      </c>
      <c r="AP19" s="837" t="str">
        <f>IF(ISNUMBER(Datos!CI19/Datos!CJ19),Datos!CI19/Datos!CJ19," - ")</f>
        <v xml:space="preserve"> - </v>
      </c>
      <c r="AQ19" s="837">
        <f>IF(OR(ISNUMBER(FIND("01",Criterios!A8,1)),ISNUMBER(FIND("02",Criterios!A8,1)),ISNUMBER(FIND("03",Criterios!A8,1)),ISNUMBER(FIND("04",Criterios!A8,1))),(J19-Y19+K19)/(F19-K19),(I19-Y19+K19)/(F19-K19))</f>
        <v>-1.1608695652173913</v>
      </c>
      <c r="AR19" s="837">
        <f>IF(ISNUMBER((Datos!P19-Datos!Q19+O19)/(Datos!R19-Datos!P19+Datos!Q19-O19)),(Datos!P19-Datos!Q19+O19)/(Datos!R19-Datos!P19+Datos!Q19-O19)," - ")</f>
        <v>0.10196078431372549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807.1356763270968</v>
      </c>
      <c r="G21" s="555">
        <f>IF(ISNUMBER(STDEV(G8:G18)),STDEV(G8:G18),"-")</f>
        <v>808.77438139446531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260.00923060537679</v>
      </c>
      <c r="AK21" s="255"/>
      <c r="AL21" s="255">
        <f>IF(ISNUMBER(STDEV(AL8:AL18)),STDEV(AL8:AL18),"-")</f>
        <v>0</v>
      </c>
      <c r="AM21" s="257">
        <f>IF(ISNUMBER(STDEV(AM8:AM18)),STDEV(AM8:AM18),"-")</f>
        <v>0</v>
      </c>
      <c r="AN21" s="542">
        <f>IF(ISNUMBER(STDEV(AN8:AN18)),STDEV(AN8:AN18),"-")</f>
        <v>0</v>
      </c>
      <c r="AO21" s="543">
        <f>IF(ISNUMBER(STDEV(AO8:AO18)),STDEV(AO8:AO18),"-")</f>
        <v>11.81287045592533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u3ic0CPqNeOpTAM6g6Zn3u7dOKsdUYVmY+v4j1Tiw8h8Q74Flv8RlgHwvNpByvlKohoK2nLtlirfTj8KV2z7w==" saltValue="s5c3WFTJ6We96Egbtdzs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Ui81SbVcT8YGv2c9PkXPgl1qoEEzOFTl48bqyYG+wdeuDgarNNFegpScACL2KO1nmeWrls/qSL4bSOkMUL8Cg==" saltValue="KCo94N0kC0vylywx4XBa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G6k9yHmDj7Ztvq8+aRrHuWtbpFSlbn5rcqpX0+zrRrIATzU2e8ED6Xs6IEG7KaXG60yszfhjsdM1q6FdvaIQ==" saltValue="r+WeKKNmAj0y10CB+gW9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CACERES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0.34178610804851156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0.24167927471646056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NnF4UcxazcbV6OUWfCDbmsvdNSllNdB6vJo5Bhinl8OywGJ3cQIXpF7jJVFA0QahTY7JThpecv+tePxuLvF8Q==" saltValue="AaVpBVkOmSE1T7pvn+aJ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gVJZlM2/XMgpZ/2MWp6AlP99NLMhyhuj5Ro5WoYHQuipSrl4i5QTw6nmDd080mmNlHQ2ASqGyOoc9bCwMhCUw==" saltValue="LXfP9xsobYOhG9QtiJJC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CACERES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3040</v>
      </c>
      <c r="D9" s="407" t="str">
        <f>IF(ISNUMBER(C9/Datos!BH9),C9/Datos!BH9," - ")</f>
        <v xml:space="preserve"> - </v>
      </c>
      <c r="E9" s="406">
        <f>IF(ISNUMBER(IF(J_V="SI",Datos!J9,Datos!J9+Datos!Z9)),IF(J_V="SI",Datos!J9,Datos!J9+Datos!Z9)," - ")</f>
        <v>1583</v>
      </c>
      <c r="F9" s="407">
        <f>IF(ISNUMBER(E9/B9),E9/B9," - ")</f>
        <v>316.60000000000002</v>
      </c>
      <c r="G9" s="406">
        <f>IF(ISNUMBER(IF(J_V="SI",Datos!K9,Datos!K9+Datos!AA9)),IF(J_V="SI",Datos!K9,Datos!K9+Datos!AA9)," - ")</f>
        <v>1800</v>
      </c>
      <c r="H9" s="407">
        <f>IF(ISNUMBER(G9/B9),G9/B9," - ")</f>
        <v>360</v>
      </c>
      <c r="I9" s="406">
        <f>IF(ISNUMBER(IF(J_V="SI",Datos!L9,Datos!L9+Datos!AB9)),IF(J_V="SI",Datos!L9,Datos!L9+Datos!AB9)," - ")</f>
        <v>2822</v>
      </c>
      <c r="J9" s="407">
        <f>IF(ISNUMBER(I9/B9),I9/B9," - ")</f>
        <v>564.4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106</v>
      </c>
      <c r="D10" s="407">
        <f>IF(ISNUMBER(C10/Datos!BH10),C10/Datos!BH10," - ")</f>
        <v>53</v>
      </c>
      <c r="E10" s="406">
        <f>IF(ISNUMBER(Datos!J10),Datos!J10," - ")</f>
        <v>58</v>
      </c>
      <c r="F10" s="407">
        <f>IF(ISNUMBER(E10/B10),E10/B10," - ")</f>
        <v>29</v>
      </c>
      <c r="G10" s="406">
        <f>IF(ISNUMBER(Datos!K10),Datos!K10," - ")</f>
        <v>14</v>
      </c>
      <c r="H10" s="407">
        <f>IF(ISNUMBER(G10/B10),G10/B10," - ")</f>
        <v>7</v>
      </c>
      <c r="I10" s="406">
        <f>IF(ISNUMBER(Datos!L10),Datos!L10," - ")</f>
        <v>150</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3146</v>
      </c>
      <c r="D13" s="853" t="str">
        <f>IF(ISNUMBER(C13/Datos!BI13),C13/Datos!BI13," - ")</f>
        <v xml:space="preserve"> - </v>
      </c>
      <c r="E13" s="852">
        <f>SUBTOTAL(9,E8:E12)</f>
        <v>1641</v>
      </c>
      <c r="F13" s="853">
        <f>IF(ISNUMBER(E13/B13),E13/B13," - ")</f>
        <v>273.5</v>
      </c>
      <c r="G13" s="852">
        <f>SUBTOTAL(9,G8:G12)</f>
        <v>1814</v>
      </c>
      <c r="H13" s="853">
        <f>IF(ISNUMBER(G13/B13),G13/B13," - ")</f>
        <v>302.33333333333331</v>
      </c>
      <c r="I13" s="852">
        <f>SUBTOTAL(9,I8:I12)</f>
        <v>2972</v>
      </c>
      <c r="J13" s="853">
        <f>IF(ISNUMBER(I13/B13),I13/B13," - ")</f>
        <v>495.33333333333331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1504</v>
      </c>
      <c r="D15" s="407" t="str">
        <f>IF(ISNUMBER(C15/Datos!BH15),C15/Datos!BH15," - ")</f>
        <v xml:space="preserve"> - </v>
      </c>
      <c r="E15" s="406">
        <f>IF(ISNUMBER(IF(D_I="SI",Datos!J15,Datos!J15+Datos!AD15)),IF(D_I="SI",Datos!J15,Datos!J15+Datos!AD15)," - ")</f>
        <v>1434</v>
      </c>
      <c r="F15" s="407">
        <f>IF(ISNUMBER(E15/B15),E15/B15," - ")</f>
        <v>478</v>
      </c>
      <c r="G15" s="406">
        <f>IF(ISNUMBER(IF(D_I="SI",Datos!K15,Datos!K15+Datos!AE15)),IF(D_I="SI",Datos!K15,Datos!K15+Datos!AE15)," - ")</f>
        <v>1328</v>
      </c>
      <c r="H15" s="407">
        <f>IF(ISNUMBER(G15/B15),G15/B15," - ")</f>
        <v>442.66666666666669</v>
      </c>
      <c r="I15" s="406">
        <f>IF(ISNUMBER(IF(D_I="SI",Datos!L15,Datos!L15+Datos!AF15)),IF(D_I="SI",Datos!L15,Datos!L15+Datos!AF15)," - ")</f>
        <v>1610</v>
      </c>
      <c r="J15" s="407">
        <f>IF(ISNUMBER(I15/B15),I15/B15," - ")</f>
        <v>536.66666666666663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210</v>
      </c>
      <c r="D17" s="407">
        <f>IF(ISNUMBER(C17/Datos!BH17),C17/Datos!BH17," - ")</f>
        <v>105</v>
      </c>
      <c r="E17" s="406">
        <f>IF(ISNUMBER(IF(D_I="SI",Datos!J17,Datos!J17+Datos!AD17)),IF(D_I="SI",Datos!J17,Datos!J17+Datos!AD17)," - ")</f>
        <v>487</v>
      </c>
      <c r="F17" s="407">
        <f>IF(ISNUMBER(E17/B17),E17/B17," - ")</f>
        <v>243.5</v>
      </c>
      <c r="G17" s="406">
        <f>IF(ISNUMBER(IF(D_I="SI",Datos!K17,Datos!K17+Datos!AE17)),IF(D_I="SI",Datos!K17,Datos!K17+Datos!AE17)," - ")</f>
        <v>527</v>
      </c>
      <c r="H17" s="407">
        <f>IF(ISNUMBER(G17/B17),G17/B17," - ")</f>
        <v>263.5</v>
      </c>
      <c r="I17" s="406">
        <f>IF(ISNUMBER(IF(D_I="SI",Datos!L17,Datos!L17+Datos!AF17)),IF(D_I="SI",Datos!L17,Datos!L17+Datos!AF17)," - ")</f>
        <v>170</v>
      </c>
      <c r="J17" s="407">
        <f>IF(ISNUMBER(I17/B17),I17/B17," - ")</f>
        <v>85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1714</v>
      </c>
      <c r="D18" s="853" t="str">
        <f>IF(ISNUMBER(C18/Datos!BI18),C18/Datos!BI18," - ")</f>
        <v xml:space="preserve"> - </v>
      </c>
      <c r="E18" s="852">
        <f>SUBTOTAL(9,E14:E17)</f>
        <v>1921</v>
      </c>
      <c r="F18" s="853">
        <f>IF(ISNUMBER(E18/B18),E18/B18," - ")</f>
        <v>480.25</v>
      </c>
      <c r="G18" s="852">
        <f>SUBTOTAL(9,G14:G17)</f>
        <v>1855</v>
      </c>
      <c r="H18" s="853">
        <f>IF(ISNUMBER(G18/B18),G18/B18," - ")</f>
        <v>463.75</v>
      </c>
      <c r="I18" s="852">
        <f>SUBTOTAL(9,I14:I17)</f>
        <v>1780</v>
      </c>
      <c r="J18" s="853">
        <f>IF(ISNUMBER(I18/B18),I18/B18," - ")</f>
        <v>445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4860</v>
      </c>
      <c r="D19" s="798" t="str">
        <f>IF(ISNUMBER(C19/Datos!BI19),C19/Datos!BI19," - ")</f>
        <v xml:space="preserve"> - </v>
      </c>
      <c r="E19" s="797">
        <f>SUBTOTAL(9,E9:E18)</f>
        <v>3562</v>
      </c>
      <c r="F19" s="798">
        <f>IF(ISNUMBER(E19/B19),E19/B19," - ")</f>
        <v>395.77777777777777</v>
      </c>
      <c r="G19" s="797">
        <f>SUBTOTAL(9,G9:G18)</f>
        <v>3669</v>
      </c>
      <c r="H19" s="798">
        <f>IF(ISNUMBER(G19/B19),G19/B19," - ")</f>
        <v>407.66666666666669</v>
      </c>
      <c r="I19" s="797">
        <f>SUBTOTAL(9,I9:I18)</f>
        <v>4752</v>
      </c>
      <c r="J19" s="798">
        <f>IF(ISNUMBER(I19/B19),I19/B19," - ")</f>
        <v>528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rVqJ32EdtoYH10DU4A8D35hT1TS3u6GkcHeK7szRlpuXttv3tzsESPH3CQFh56wwubxgPSSnwphVn1r7/yG6Q==" saltValue="lkjNzCfMrz80WTtRDnH/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CACERES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106</v>
      </c>
      <c r="G10" s="687">
        <f>IF(ISNUMBER(Datos!I10),Datos!I10," - ")</f>
        <v>106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150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32.142857142857139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106</v>
      </c>
      <c r="G13" s="941">
        <f t="shared" si="0"/>
        <v>106</v>
      </c>
      <c r="H13" s="941">
        <f t="shared" si="0"/>
        <v>0</v>
      </c>
      <c r="I13" s="943">
        <f t="shared" si="0"/>
        <v>0</v>
      </c>
      <c r="J13" s="942">
        <f t="shared" si="0"/>
        <v>0</v>
      </c>
      <c r="K13" s="942">
        <f t="shared" si="0"/>
        <v>0</v>
      </c>
      <c r="L13" s="944">
        <f t="shared" si="0"/>
        <v>0</v>
      </c>
      <c r="M13" s="944">
        <f t="shared" si="0"/>
        <v>0</v>
      </c>
      <c r="N13" s="942">
        <f t="shared" si="0"/>
        <v>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0</v>
      </c>
      <c r="AE13" s="942">
        <f t="shared" si="1"/>
        <v>0</v>
      </c>
      <c r="AF13" s="942">
        <f t="shared" si="1"/>
        <v>150</v>
      </c>
      <c r="AG13" s="942">
        <f t="shared" si="1"/>
        <v>0</v>
      </c>
      <c r="AH13" s="942">
        <f t="shared" si="1"/>
        <v>0</v>
      </c>
      <c r="AI13" s="942">
        <f t="shared" si="1"/>
        <v>0</v>
      </c>
      <c r="AJ13" s="942">
        <f t="shared" si="1"/>
        <v>0</v>
      </c>
      <c r="AK13" s="942">
        <f t="shared" si="1"/>
        <v>0</v>
      </c>
      <c r="AL13" s="942">
        <f t="shared" si="1"/>
        <v>6</v>
      </c>
      <c r="AM13" s="942">
        <f t="shared" si="1"/>
        <v>0</v>
      </c>
      <c r="AN13" s="942">
        <f t="shared" si="1"/>
        <v>0</v>
      </c>
      <c r="AO13" s="942">
        <f t="shared" si="1"/>
        <v>0</v>
      </c>
      <c r="AP13" s="947">
        <f>IF(ISNUMBER(((Datos!L13/Datos!K13)*11)/factor_trimestre),((Datos!L13/Datos!K13)*11)/factor_trimestre," - ")</f>
        <v>5.0291438979963576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-0.13207547169811321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2.8787061994609164</v>
      </c>
      <c r="AQ18" s="947">
        <f>IF(ISNUMBER(((Datos!M18/Datos!L18)*11)/factor_trimestre),((Datos!M18/Datos!L18)*11)/factor_trimestre," - ")</f>
        <v>0.60842696629213477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0.28440366972477066</v>
      </c>
      <c r="AW18" s="949">
        <f>IF(ISNUMBER((Datos!Q18-Datos!R18)/(Datos!S18-Datos!Q18+Datos!R18)),(Datos!Q18-Datos!R18)/(Datos!S18-Datos!Q18+Datos!R18)," - ")</f>
        <v>-0.41628959276018102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106</v>
      </c>
      <c r="G19" s="954">
        <f t="shared" si="4"/>
        <v>106</v>
      </c>
      <c r="H19" s="954">
        <f t="shared" si="4"/>
        <v>0</v>
      </c>
      <c r="I19" s="955">
        <f t="shared" si="4"/>
        <v>0</v>
      </c>
      <c r="J19" s="956">
        <f t="shared" si="4"/>
        <v>0</v>
      </c>
      <c r="K19" s="956">
        <f t="shared" si="4"/>
        <v>0</v>
      </c>
      <c r="L19" s="956">
        <f t="shared" si="4"/>
        <v>0</v>
      </c>
      <c r="M19" s="956">
        <f t="shared" si="4"/>
        <v>0</v>
      </c>
      <c r="N19" s="955">
        <f t="shared" si="4"/>
        <v>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0</v>
      </c>
      <c r="AE19" s="960">
        <f t="shared" si="5"/>
        <v>0</v>
      </c>
      <c r="AF19" s="961">
        <f t="shared" si="5"/>
        <v>150</v>
      </c>
      <c r="AG19" s="961">
        <f t="shared" si="5"/>
        <v>0</v>
      </c>
      <c r="AH19" s="961">
        <f t="shared" si="5"/>
        <v>0</v>
      </c>
      <c r="AI19" s="961">
        <f t="shared" si="5"/>
        <v>0</v>
      </c>
      <c r="AJ19" s="962">
        <f t="shared" si="5"/>
        <v>0</v>
      </c>
      <c r="AK19" s="962">
        <f t="shared" si="5"/>
        <v>0</v>
      </c>
      <c r="AL19" s="954">
        <f t="shared" si="5"/>
        <v>6</v>
      </c>
      <c r="AM19" s="954">
        <f t="shared" si="5"/>
        <v>0</v>
      </c>
      <c r="AN19" s="954">
        <f t="shared" si="5"/>
        <v>0</v>
      </c>
      <c r="AO19" s="954">
        <f t="shared" si="5"/>
        <v>0</v>
      </c>
      <c r="AP19" s="954">
        <f>IF(ISNUMBER(((Datos!L19/Datos!K19)*11)/factor_trimestre),((Datos!L19/Datos!K19)*11)/factor_trimestre," - ")</f>
        <v>3.890062821245003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-0.13207547169811321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0.10196078431372549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70.666666666666671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61.199128534100332</v>
      </c>
      <c r="G21" s="740">
        <f>IF(ISNUMBER(STDEV(G8:G18)),STDEV(G8:G18),"-")</f>
        <v>61.199128534100332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3.4641016151377544</v>
      </c>
      <c r="AM21" s="739"/>
      <c r="AN21" s="739">
        <f>IF(ISNUMBER(STDEV(AN8:AN18)),STDEV(AN8:AN18),"-")</f>
        <v>0</v>
      </c>
      <c r="AO21" s="745">
        <f>IF(ISNUMBER(STDEV(AO8:AO18)),STDEV(AO8:AO18),"-")</f>
        <v>0</v>
      </c>
      <c r="AP21" s="782">
        <f>IF(ISNUMBER(STDEV(AP8:AP18)),STDEV(AP8:AP18),"-")</f>
        <v>16.310366635250212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1AncajVwum9fuEKVk4iuH844f/xBvUfAF8csMGf7iGR7sB8PawDoAJDIwCPn+j0CmJDUfNOkuNdzB53DYcSVw==" saltValue="utOJ0yd5zmjvGNQUpY5I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CACERES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f>IF(ISNUMBER(E12/Datos!BH12),E12/Datos!BH12," - ")</f>
        <v>0</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f>IF(ISNUMBER(E16/Datos!BH16),E16/Datos!BH16," - ")</f>
        <v>0</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JLJiw0UWDHzUdPEP1ffTslzegXp79VVZbflhZezN2xqkOS3m3Z1yxeq6A1Q2n99KebphR2ZUooJxILslF0pRRA==" saltValue="e3xrRtDf+R6ADN+eKx+l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CACERES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614</v>
      </c>
      <c r="E9" s="407">
        <f t="shared" ref="E9:E13" si="0">IF(ISNUMBER(D9/B9),D9/B9," - ")</f>
        <v>122.8</v>
      </c>
      <c r="F9" s="406">
        <f>IF(ISNUMBER(Datos!N9),Datos!N9," - ")</f>
        <v>567</v>
      </c>
      <c r="G9" s="407">
        <f t="shared" ref="G9:G13" si="1">IF(ISNUMBER(F9/B9),F9/B9," - ")</f>
        <v>113.4</v>
      </c>
      <c r="H9" s="406">
        <f>IF(ISNUMBER(Datos!O9),Datos!O9," - ")</f>
        <v>695</v>
      </c>
      <c r="I9" s="407">
        <f>IF(ISNUMBER(H9/B9),H9/B9," - ")</f>
        <v>139</v>
      </c>
    </row>
    <row r="10" spans="1:9">
      <c r="A10" s="405" t="str">
        <f>Datos!A10</f>
        <v>Jdos. Violencia contra la mujer</v>
      </c>
      <c r="B10" s="430">
        <f>Datos!AO10</f>
        <v>2</v>
      </c>
      <c r="C10" s="413">
        <f>Datos!AQ10</f>
        <v>1</v>
      </c>
      <c r="D10" s="406">
        <f>IF(ISNUMBER(Datos!M10),Datos!M10," - ")</f>
        <v>6</v>
      </c>
      <c r="E10" s="407">
        <f>IF(ISNUMBER(D10/B10),D10/B10," - ")</f>
        <v>3</v>
      </c>
      <c r="F10" s="406">
        <f>IF(ISNUMBER(Datos!N10),Datos!N10," - ")</f>
        <v>0</v>
      </c>
      <c r="G10" s="407">
        <f>IF(ISNUMBER(F10/B10),F10/B10," - ")</f>
        <v>0</v>
      </c>
      <c r="H10" s="406">
        <f>IF(ISNUMBER(Datos!O10),Datos!O10," - ")</f>
        <v>2</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6</v>
      </c>
      <c r="D13" s="852">
        <f>SUBTOTAL(9,D9:D12)</f>
        <v>620</v>
      </c>
      <c r="E13" s="853">
        <f t="shared" si="0"/>
        <v>88.571428571428569</v>
      </c>
      <c r="F13" s="852">
        <f>SUBTOTAL(9,F9:F12)</f>
        <v>567</v>
      </c>
      <c r="G13" s="853">
        <f t="shared" si="1"/>
        <v>81</v>
      </c>
      <c r="H13" s="852">
        <f>SUBTOTAL(9,H9:H12)</f>
        <v>697</v>
      </c>
      <c r="I13" s="853">
        <f>IF(ISNUMBER(H13/B13),H13/B13," - ")</f>
        <v>99.571428571428569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287</v>
      </c>
      <c r="E15" s="407">
        <f t="shared" ref="E15:E18" si="3">IF(ISNUMBER(D15/B15),D15/B15," - ")</f>
        <v>95.666666666666671</v>
      </c>
      <c r="F15" s="406">
        <f>IF(ISNUMBER(Datos!N15),Datos!N15," - ")</f>
        <v>754</v>
      </c>
      <c r="G15" s="407">
        <f t="shared" ref="G15:G18" si="4">IF(ISNUMBER(F15/B15),F15/B15," - ")</f>
        <v>251.33333333333334</v>
      </c>
      <c r="H15" s="406">
        <f>IF(ISNUMBER(Datos!O15),Datos!O15," - ")</f>
        <v>32</v>
      </c>
      <c r="I15" s="407">
        <f t="shared" ref="I15:I17" si="5">IF(ISNUMBER(H15/B15),H15/B15," - ")</f>
        <v>10.666666666666666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74</v>
      </c>
      <c r="E17" s="407">
        <f>IF(ISNUMBER(D17/B17),D17/B17," - ")</f>
        <v>37</v>
      </c>
      <c r="F17" s="406">
        <f>IF(ISNUMBER(Datos!N17),Datos!N17," - ")</f>
        <v>191</v>
      </c>
      <c r="G17" s="407">
        <f>IF(ISNUMBER(F17/B17),F17/B17," - ")</f>
        <v>95.5</v>
      </c>
      <c r="H17" s="406">
        <f>IF(ISNUMBER(Datos!O17),Datos!O17," - ")</f>
        <v>0</v>
      </c>
      <c r="I17" s="407">
        <f t="shared" si="5"/>
        <v>0</v>
      </c>
    </row>
    <row r="18" spans="1:9" ht="14.25" thickTop="1" thickBot="1">
      <c r="A18" s="851" t="str">
        <f>Datos!A18</f>
        <v>TOTAL</v>
      </c>
      <c r="B18" s="852">
        <f>Datos!AO18</f>
        <v>5</v>
      </c>
      <c r="C18" s="854">
        <f>Datos!AR18</f>
        <v>4</v>
      </c>
      <c r="D18" s="852">
        <f>SUBTOTAL(9,D15:D17)</f>
        <v>361</v>
      </c>
      <c r="E18" s="853">
        <f t="shared" si="3"/>
        <v>72.2</v>
      </c>
      <c r="F18" s="852">
        <f>SUBTOTAL(9,F15:F17)</f>
        <v>945</v>
      </c>
      <c r="G18" s="853">
        <f t="shared" si="4"/>
        <v>189</v>
      </c>
      <c r="H18" s="852">
        <f>SUBTOTAL(9,H15:H17)</f>
        <v>32</v>
      </c>
      <c r="I18" s="853">
        <f>IF(ISNUMBER(H18/B18),H18/B18," - ")</f>
        <v>6.4</v>
      </c>
    </row>
    <row r="19" spans="1:9" ht="14.25" thickTop="1" thickBot="1">
      <c r="A19" s="796" t="str">
        <f>Datos!A19</f>
        <v>TOTAL JURISDICCIONES</v>
      </c>
      <c r="B19" s="797">
        <f>Datos!AP19</f>
        <v>9</v>
      </c>
      <c r="C19" s="797">
        <f>Datos!AR19</f>
        <v>9</v>
      </c>
      <c r="D19" s="797">
        <f>SUBTOTAL(9,D8:D18)</f>
        <v>981</v>
      </c>
      <c r="E19" s="798">
        <f>IF(ISNUMBER(D19/B19),D19/B19," - ")</f>
        <v>109</v>
      </c>
      <c r="F19" s="797">
        <f>SUBTOTAL(9,F8:F18)</f>
        <v>1512</v>
      </c>
      <c r="G19" s="798">
        <f>IF(ISNUMBER(F19/B19),F19/B19," - ")</f>
        <v>168</v>
      </c>
      <c r="H19" s="797">
        <f>SUBTOTAL(9,H8:H18)</f>
        <v>729</v>
      </c>
      <c r="I19" s="798">
        <f>IF(ISNUMBER(H19/B19),H19/B19," - ")</f>
        <v>81</v>
      </c>
    </row>
    <row r="22" spans="1:9">
      <c r="A22" s="394" t="str">
        <f>Criterios!A4</f>
        <v>Fecha Informe: 07 mar. 2024</v>
      </c>
    </row>
    <row r="27" spans="1:9">
      <c r="A27" s="417"/>
    </row>
  </sheetData>
  <sheetProtection algorithmName="SHA-512" hashValue="0IW8OXwTEMgHJ4kJIsf3TSBM++qLQtS096zCKKS/pAhZdT+c1rI0KXk0zkGzUrabSEaSDWBoNhK3By2tUBRueQ==" saltValue="+w3+C9xsLFnPnRKFch3G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CACERES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508</v>
      </c>
      <c r="C9" s="437">
        <f>IF(ISNUMBER(Datos!Q9),Datos!Q9," - ")</f>
        <v>178</v>
      </c>
      <c r="D9" s="411">
        <f>IF(ISNUMBER(Datos!R9),Datos!R9," - ")</f>
        <v>3775</v>
      </c>
    </row>
    <row r="10" spans="1:4">
      <c r="A10" s="405" t="str">
        <f>Datos!A10</f>
        <v>Jdos. Violencia contra la mujer</v>
      </c>
      <c r="B10" s="436">
        <f>IF(ISNUMBER(Datos!P10),Datos!P10," - ")</f>
        <v>3</v>
      </c>
      <c r="C10" s="437">
        <f>IF(ISNUMBER(Datos!Q10),Datos!Q10," - ")</f>
        <v>0</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511</v>
      </c>
      <c r="C13" s="856">
        <f>SUBTOTAL(9,C9:C12)</f>
        <v>178</v>
      </c>
      <c r="D13" s="854">
        <f>SUBTOTAL(9,D9:D12)</f>
        <v>3794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71</v>
      </c>
      <c r="C15" s="437">
        <f>IF(ISNUMBER(Datos!Q15),Datos!Q15," - ")</f>
        <v>40</v>
      </c>
      <c r="D15" s="411">
        <f>IF(ISNUMBER(Datos!R15),Datos!R15," - ")</f>
        <v>138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8</v>
      </c>
      <c r="C17" s="437">
        <f>IF(ISNUMBER(Datos!Q17),Datos!Q17," - ")</f>
        <v>8</v>
      </c>
      <c r="D17" s="411">
        <f>IF(ISNUMBER(Datos!R17),Datos!R17," - ")</f>
        <v>2</v>
      </c>
    </row>
    <row r="18" spans="1:4" ht="14.25" thickTop="1" thickBot="1">
      <c r="A18" s="851" t="str">
        <f>Datos!A18</f>
        <v>TOTAL</v>
      </c>
      <c r="B18" s="852">
        <f>SUBTOTAL(9,B15:B17)</f>
        <v>79</v>
      </c>
      <c r="C18" s="856">
        <f>SUBTOTAL(9,C15:C17)</f>
        <v>48</v>
      </c>
      <c r="D18" s="854">
        <f>SUBTOTAL(9,D15:D17)</f>
        <v>140</v>
      </c>
    </row>
    <row r="19" spans="1:4" ht="16.5" customHeight="1" thickTop="1" thickBot="1">
      <c r="A19" s="796" t="str">
        <f>Datos!A19</f>
        <v>TOTAL JURISDICCIONES</v>
      </c>
      <c r="B19" s="801">
        <f>SUBTOTAL(9,B8:B18)</f>
        <v>590</v>
      </c>
      <c r="C19" s="802">
        <f>SUBTOTAL(9,C8:C18)</f>
        <v>226</v>
      </c>
      <c r="D19" s="803">
        <f>SUBTOTAL(9,D8:D18)</f>
        <v>3934</v>
      </c>
    </row>
    <row r="20" spans="1:4" ht="7.5" customHeight="1"/>
    <row r="21" spans="1:4" ht="6" customHeight="1"/>
    <row r="22" spans="1:4">
      <c r="A22" s="394" t="str">
        <f>Criterios!A4</f>
        <v>Fecha Informe: 07 mar. 2024</v>
      </c>
    </row>
    <row r="27" spans="1:4">
      <c r="A27" s="417"/>
    </row>
  </sheetData>
  <sheetProtection algorithmName="SHA-512" hashValue="27HHkUDGSZ5BjL9T1RIRq3do5wL0FE8+4dBFaTsXeryP9DY+6wM28Yetn248synwiSM2iEE3U9nX0xkNxLGouA==" saltValue="RF4sqT/0mkSuLTcSmDhv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CACERES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1.1200000000000001</v>
      </c>
      <c r="C10" s="459">
        <f>IF(ISNUMBER((Datos!J10-Datos!T10)/Datos!T10),(Datos!J10-Datos!T10)/Datos!T10," - ")</f>
        <v>2.625</v>
      </c>
      <c r="D10" s="459">
        <f>IF(ISNUMBER((Datos!K10-Datos!U10)/Datos!U10),(Datos!K10-Datos!U10)/Datos!U10," - ")</f>
        <v>-0.3</v>
      </c>
      <c r="E10" s="459">
        <f>IF(ISNUMBER((Datos!L10-Datos!V10)/Datos!V10),(Datos!L10-Datos!V10)/Datos!V10," - ")</f>
        <v>2.2608695652173911</v>
      </c>
      <c r="F10" s="459">
        <f>IF(ISNUMBER((Datos!M10-Datos!W10)/Datos!W10),(Datos!M10-Datos!W10)/Datos!W10," - ")</f>
        <v>-0.25</v>
      </c>
      <c r="G10" s="460">
        <f>IF(ISNUMBER((Datos!N10-Datos!X10)/Datos!X10),(Datos!N10-Datos!X10)/Datos!X10," - ")</f>
        <v>-1</v>
      </c>
      <c r="H10" s="458">
        <f>IF(ISNUMBER(((NºAsuntos!G10/NºAsuntos!E10)-Datos!BD10)/Datos!BD10),((NºAsuntos!G10/NºAsuntos!E10)-Datos!BD10)/Datos!BD10," - ")</f>
        <v>-0.80689655172413788</v>
      </c>
      <c r="I10" s="459">
        <f>IF(ISNUMBER(((NºAsuntos!I10/NºAsuntos!G10)-Datos!BE10)/Datos!BE10),((NºAsuntos!I10/NºAsuntos!G10)-Datos!BE10)/Datos!BE10," - ")</f>
        <v>3.6583850931677024</v>
      </c>
      <c r="J10" s="464">
        <f>IF(ISNUMBER((('Resol  Asuntos'!D10/NºAsuntos!G10)-Datos!BF10)/Datos!BF10),(('Resol  Asuntos'!D10/NºAsuntos!G10)-Datos!BF10)/Datos!BF10," - ")</f>
        <v>7.1428571428571314E-2</v>
      </c>
      <c r="K10" s="465">
        <f>IF(ISNUMBER((((NºAsuntos!C10+NºAsuntos!E10)/NºAsuntos!G10)-Datos!BG10)/Datos!BG10),(((NºAsuntos!C10+NºAsuntos!E10)/NºAsuntos!G10)-Datos!BG10)/Datos!BG10," - ")</f>
        <v>2.5497835497835499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61.92</v>
      </c>
      <c r="C13" s="858">
        <f>IF(ISNUMBER(
   IF(J_V="SI",(Datos!J13-Datos!T13)/Datos!T13,(Datos!J13+Datos!Z13-(Datos!T13+Datos!AH13))/(Datos!T13+Datos!AH13))
     ),IF(J_V="SI",(Datos!J13-Datos!T13)/Datos!T13,(Datos!J13+Datos!Z13-(Datos!T13+Datos!AH13))/(Datos!T13+Datos!AH13))," - ")</f>
        <v>101.5625</v>
      </c>
      <c r="D13" s="858">
        <f>IF(ISNUMBER(
   IF(J_V="SI",(Datos!K13-Datos!U13)/Datos!U13,(Datos!K13+Datos!AA13-(Datos!U13+Datos!AI13))/(Datos!U13+Datos!AI13))
     ),IF(J_V="SI",(Datos!K13-Datos!U13)/Datos!U13,(Datos!K13+Datos!AA13-(Datos!U13+Datos!AI13))/(Datos!U13+Datos!AI13))," - ")</f>
        <v>89.7</v>
      </c>
      <c r="E13" s="858">
        <f>IF(ISNUMBER(
   IF(J_V="SI",(Datos!L13-Datos!V13)/Datos!V13,(Datos!L13+Datos!AB13-(Datos!V13+Datos!AJ13))/(Datos!V13+Datos!AJ13))
     ),IF(J_V="SI",(Datos!L13-Datos!V13)/Datos!V13,(Datos!L13+Datos!AB13-(Datos!V13+Datos!AJ13))/(Datos!V13+Datos!AJ13))," - ")</f>
        <v>63.608695652173914</v>
      </c>
      <c r="F13" s="859">
        <f>IF(ISNUMBER((Datos!M13-Datos!W13)/Datos!W13),(Datos!M13-Datos!W13)/Datos!W13," - ")</f>
        <v>76.5</v>
      </c>
      <c r="G13" s="860">
        <f>IF(ISNUMBER((Datos!N13-Datos!X13)/Datos!X13),(Datos!N13-Datos!X13)/Datos!X13," - ")</f>
        <v>112.4</v>
      </c>
      <c r="H13" s="860">
        <f>IF(ISNUMBER(((NºAsuntos!G13/NºAsuntos!E13)-Datos!BD13)/Datos!BD13),((NºAsuntos!G13/NºAsuntos!E13)-Datos!BD13)/Datos!BD13," - ")</f>
        <v>-0.11566118220597196</v>
      </c>
      <c r="I13" s="860">
        <f>IF(ISNUMBER(((NºAsuntos!I13/NºAsuntos!G13)-Datos!BE13)/Datos!BE13),((NºAsuntos!I13/NºAsuntos!G13)-Datos!BE13)/Datos!BE13," - ")</f>
        <v>-0.28766597957911882</v>
      </c>
      <c r="J13" s="860">
        <f>IF(ISNUMBER((('Resol  Asuntos'!D13/NºAsuntos!G13)-Datos!BF13)/Datos!BF13),(('Resol  Asuntos'!D13/NºAsuntos!G13)-Datos!BF13)/Datos!BF13," - ")</f>
        <v>-0.14553472987872115</v>
      </c>
      <c r="K13" s="860">
        <f>IF(ISNUMBER((((NºAsuntos!C13+NºAsuntos!E13)/NºAsuntos!G13)-Datos!BG13)/Datos!BG13),(((NºAsuntos!C13+NºAsuntos!E13)/NºAsuntos!G13)-Datos!BG13)/Datos!BG13," - ")</f>
        <v>-0.20032741973205029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0.62790697674418605</v>
      </c>
      <c r="C17" s="459">
        <f>IF(ISNUMBER(
   IF(D_I="SI",(Datos!J17-Datos!T17)/Datos!T17,(Datos!J17+Datos!AD17-(Datos!T17+Datos!AL17))/(Datos!T17+Datos!AL17))
     ),IF(D_I="SI",(Datos!J17-Datos!T17)/Datos!T17,(Datos!J17+Datos!AD17-(Datos!T17+Datos!AL17))/(Datos!T17+Datos!AL17))," - ")</f>
        <v>1.7206703910614525</v>
      </c>
      <c r="D17" s="459">
        <f>IF(ISNUMBER(
   IF(D_I="SI",(Datos!K17-Datos!U17)/Datos!U17,(Datos!K17+Datos!AE17-(Datos!U17+Datos!AM17))/(Datos!U17+Datos!AM17))
     ),IF(D_I="SI",(Datos!K17-Datos!U17)/Datos!U17,(Datos!K17+Datos!AE17-(Datos!U17+Datos!AM17))/(Datos!U17+Datos!AM17))," - ")</f>
        <v>1.9774011299435028</v>
      </c>
      <c r="E17" s="459">
        <f>IF(ISNUMBER(
   IF(D_I="SI",(Datos!L17-Datos!V17)/Datos!V17,(Datos!L17+Datos!AF17-(Datos!V17+Datos!AN17))/(Datos!V17+Datos!AN17))
     ),IF(D_I="SI",(Datos!L17-Datos!V17)/Datos!V17,(Datos!L17+Datos!AF17-(Datos!V17+Datos!AN17))/(Datos!V17+Datos!AN17))," - ")</f>
        <v>0.29770992366412213</v>
      </c>
      <c r="F17" s="459">
        <f>IF(ISNUMBER((Datos!M17-Datos!W17)/Datos!W17),(Datos!M17-Datos!W17)/Datos!W17," - ")</f>
        <v>2.0833333333333335</v>
      </c>
      <c r="G17" s="460">
        <f>IF(ISNUMBER((Datos!N17-Datos!X17)/Datos!X17),(Datos!N17-Datos!X17)/Datos!X17," - ")</f>
        <v>1.3580246913580247</v>
      </c>
      <c r="H17" s="458">
        <f>IF(ISNUMBER(((NºAsuntos!G17/NºAsuntos!E17)-Datos!BD17)/Datos!BD17),((NºAsuntos!G17/NºAsuntos!E17)-Datos!BD17)/Datos!BD17," - ")</f>
        <v>9.4363043654798875E-2</v>
      </c>
      <c r="I17" s="459">
        <f>IF(ISNUMBER(((NºAsuntos!I17/NºAsuntos!G17)-Datos!BE17)/Datos!BE17),((NºAsuntos!I17/NºAsuntos!G17)-Datos!BE17)/Datos!BE17," - ")</f>
        <v>-0.56414676188130997</v>
      </c>
      <c r="J17" s="464">
        <f>IF(ISNUMBER((('Resol  Asuntos'!D17/NºAsuntos!G17)-Datos!BF17)/Datos!BF17),(('Resol  Asuntos'!D17/NºAsuntos!G17)-Datos!BF17)/Datos!BF17," - ")</f>
        <v>3.5578747628083454E-2</v>
      </c>
      <c r="K17" s="465">
        <f>IF(ISNUMBER((((NºAsuntos!C17+NºAsuntos!E17)/NºAsuntos!G17)-Datos!BG17)/Datos!BG17),(((NºAsuntos!C17+NºAsuntos!E17)/NºAsuntos!G17)-Datos!BG17)/Datos!BG17," - ")</f>
        <v>-0.23994553833263513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12.286821705426357</v>
      </c>
      <c r="C18" s="858">
        <f>IF(ISNUMBER(
   IF(Criterios!B14="SI",(Datos!J18-Datos!T18)/Datos!T18,(Datos!J18+Datos!AD18-(Datos!T18+Datos!AL18))/(Datos!T18+Datos!AL18))
     ),IF(Criterios!B14="SI",(Datos!J18-Datos!T18)/Datos!T18,(Datos!J18+Datos!AD18-(Datos!T18+Datos!AL18))/(Datos!T18+Datos!AL18))," - ")</f>
        <v>9.7318435754189938</v>
      </c>
      <c r="D18" s="858">
        <f>IF(ISNUMBER(
   IF(Criterios!B14="SI",(Datos!K18-Datos!U18)/Datos!U18,(Datos!K18+Datos!AE18-(Datos!U18+Datos!AM18))/(Datos!U18+Datos!AM18))
     ),IF(Criterios!B14="SI",(Datos!K18-Datos!U18)/Datos!U18,(Datos!K18+Datos!AE18-(Datos!U18+Datos!AM18))/(Datos!U18+Datos!AM18))," - ")</f>
        <v>9.4802259887005658</v>
      </c>
      <c r="E18" s="858">
        <f>IF(ISNUMBER(
   IF(Criterios!B14="SI",(Datos!L18-Datos!V18)/Datos!V18,(Datos!L18+Datos!AF18-(Datos!V18+Datos!AN18))/(Datos!V18+Datos!AN18))
     ),IF(Criterios!B14="SI",(Datos!L18-Datos!V18)/Datos!V18,(Datos!L18+Datos!AF18-(Datos!V18+Datos!AN18))/(Datos!V18+Datos!AN18))," - ")</f>
        <v>12.587786259541986</v>
      </c>
      <c r="F18" s="859">
        <f>IF(ISNUMBER((Datos!M18-Datos!W18)/Datos!W18),(Datos!M18-Datos!W18)/Datos!W18," - ")</f>
        <v>14.041666666666666</v>
      </c>
      <c r="G18" s="860">
        <f>IF(ISNUMBER((Datos!N18-Datos!X18)/Datos!X18),(Datos!N18-Datos!X18)/Datos!X18," - ")</f>
        <v>10.666666666666666</v>
      </c>
      <c r="H18" s="860">
        <f>IF(ISNUMBER(((NºAsuntos!G18/NºAsuntos!E18)-Datos!BD18)/Datos!BD18),((NºAsuntos!G18/NºAsuntos!E18)-Datos!BD18)/Datos!BD18," - ")</f>
        <v>-2.344588652920299E-2</v>
      </c>
      <c r="I18" s="860">
        <f>IF(ISNUMBER(((NºAsuntos!I18/NºAsuntos!G18)-Datos!BE18)/Datos!BE18),((NºAsuntos!I18/NºAsuntos!G18)-Datos!BE18)/Datos!BE18," - ")</f>
        <v>0.29651653258163413</v>
      </c>
      <c r="J18" s="860">
        <f>IF(ISNUMBER((('Resol  Asuntos'!D18/NºAsuntos!G18)-Datos!BF18)/Datos!BF18),(('Resol  Asuntos'!D18/NºAsuntos!G18)-Datos!BF18)/Datos!BF18," - ")</f>
        <v>0.4352425876010782</v>
      </c>
      <c r="K18" s="860">
        <f>IF(ISNUMBER((((NºAsuntos!C18+NºAsuntos!E18)/NºAsuntos!G18)-Datos!BG18)/Datos!BG18),(((NºAsuntos!C18+NºAsuntos!E18)/NºAsuntos!G18)-Datos!BG18)/Datos!BG18," - ")</f>
        <v>0.12611579794868211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26.150837988826815</v>
      </c>
      <c r="C19" s="805">
        <f>IF(ISNUMBER(
   IF(J_V="SI",(Datos!J19-Datos!T19)/Datos!T19,(Datos!J19+Datos!Z19-(Datos!T19+Datos!AH19))/(Datos!T19+Datos!AH19))
     ),IF(J_V="SI",(Datos!J19-Datos!T19)/Datos!T19,(Datos!J19+Datos!Z19-(Datos!T19+Datos!AH19))/(Datos!T19+Datos!AH19))," - ")</f>
        <v>17.266666666666666</v>
      </c>
      <c r="D19" s="805">
        <f>IF(ISNUMBER(
   IF(J_V="SI",(Datos!K19-Datos!U19)/Datos!U19,(Datos!K19+Datos!AA19-(Datos!U19+Datos!AI19))/(Datos!U19+Datos!AI19))
     ),IF(J_V="SI",(Datos!K19-Datos!U19)/Datos!U19,(Datos!K19+Datos!AA19-(Datos!U19+Datos!AI19))/(Datos!U19+Datos!AI19))," - ")</f>
        <v>17.624365482233504</v>
      </c>
      <c r="E19" s="805">
        <f>IF(ISNUMBER(
   IF(J_V="SI",(Datos!L19-Datos!V19)/Datos!V19,(Datos!L19+Datos!AB19-(Datos!V19+Datos!AJ19))/(Datos!V19+Datos!AJ19))
     ),IF(J_V="SI",(Datos!L19-Datos!V19)/Datos!V19,(Datos!L19+Datos!AB19-(Datos!V19+Datos!AJ19))/(Datos!V19+Datos!AJ19))," - ")</f>
        <v>25.847457627118644</v>
      </c>
      <c r="F19" s="806">
        <f>IF(ISNUMBER((Datos!M19-Datos!W19)/Datos!W19),(Datos!M19-Datos!W19)/Datos!W19," - ")</f>
        <v>29.65625</v>
      </c>
      <c r="G19" s="807">
        <f>IF(ISNUMBER((Datos!N19-Datos!X19)/Datos!X19),(Datos!N19-Datos!X19)/Datos!X19," - ")</f>
        <v>16.581395348837209</v>
      </c>
      <c r="H19" s="808">
        <f>IF(ISNUMBER((Tasas!B19-Datos!BD19)/Datos!BD19),(Tasas!B19-Datos!BD19)/Datos!BD19," - ")</f>
        <v>1.9582051947089629E-2</v>
      </c>
      <c r="I19" s="809">
        <f>IF(ISNUMBER((Tasas!C19-Datos!BE19)/Datos!BE19),(Tasas!C19-Datos!BE19)/Datos!BE19," - ")</f>
        <v>0.44152334492841988</v>
      </c>
      <c r="J19" s="810">
        <f>IF(ISNUMBER((Tasas!D19-Datos!BF19)/Datos!BF19),(Tasas!D19-Datos!BF19)/Datos!BF19," - ")</f>
        <v>0.64602923139820112</v>
      </c>
      <c r="K19" s="810">
        <f>IF(ISNUMBER((Tasas!E19-Datos!BG19)/Datos!BG19),(Tasas!E19-Datos!BG19)/Datos!BG19," - ")</f>
        <v>0.20909979988427396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X4AJJl9P+lHKxw6IejvWON6Kgl4OXnxnsS+eSLn3aNYUcpjsCS3J6yF2c7IAg3uBMJ7ScKweX9AY7/KbdQS0Q==" saltValue="NqiRrkHtFibq1Dg8CvY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CACERES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1.137081490840177</v>
      </c>
      <c r="C9" s="446">
        <f>IF(ISNUMBER(NºAsuntos!I9/NºAsuntos!G9),NºAsuntos!I9/NºAsuntos!G9," - ")</f>
        <v>1.5677777777777777</v>
      </c>
      <c r="D9" s="447">
        <f>IF(ISNUMBER('Resol  Asuntos'!D9/NºAsuntos!G9),'Resol  Asuntos'!D9/NºAsuntos!G9," - ")</f>
        <v>0.34111111111111109</v>
      </c>
      <c r="E9" s="448">
        <f>IF(ISNUMBER((NºAsuntos!C9+NºAsuntos!E9)/NºAsuntos!G9),(NºAsuntos!C9+NºAsuntos!E9)/NºAsuntos!G9," - ")</f>
        <v>2.5683333333333334</v>
      </c>
      <c r="G9" s="466"/>
    </row>
    <row r="10" spans="1:7">
      <c r="A10" s="405" t="str">
        <f>Datos!A10</f>
        <v>Jdos. Violencia contra la mujer</v>
      </c>
      <c r="B10" s="445">
        <f>IF(ISNUMBER(NºAsuntos!G10/NºAsuntos!E10),NºAsuntos!G10/NºAsuntos!E10," - ")</f>
        <v>0.2413793103448276</v>
      </c>
      <c r="C10" s="446">
        <f>IF(ISNUMBER(NºAsuntos!I10/NºAsuntos!G10),NºAsuntos!I10/NºAsuntos!G10," - ")</f>
        <v>10.714285714285714</v>
      </c>
      <c r="D10" s="447">
        <f>IF(ISNUMBER('Resol  Asuntos'!D10/NºAsuntos!G10),'Resol  Asuntos'!D10/NºAsuntos!G10," - ")</f>
        <v>0.42857142857142855</v>
      </c>
      <c r="E10" s="448">
        <f>IF(ISNUMBER((NºAsuntos!C10+NºAsuntos!E10)/NºAsuntos!G10),(NºAsuntos!C10+NºAsuntos!E10)/NºAsuntos!G10," - ")</f>
        <v>11.714285714285714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1.105423522242535</v>
      </c>
      <c r="C13" s="862">
        <f>IF(ISNUMBER(NºAsuntos!I13/NºAsuntos!G13),NºAsuntos!I13/NºAsuntos!G13," - ")</f>
        <v>1.6383682469680265</v>
      </c>
      <c r="D13" s="863">
        <f>IF(ISNUMBER('Resol  Asuntos'!D13/NºAsuntos!G13),'Resol  Asuntos'!D13/NºAsuntos!G13," - ")</f>
        <v>0.34178610804851156</v>
      </c>
      <c r="E13" s="864">
        <f>IF(ISNUMBER((NºAsuntos!C13+NºAsuntos!E13)/NºAsuntos!G13),(NºAsuntos!C13+NºAsuntos!E13)/NºAsuntos!G13," - ")</f>
        <v>2.6389195148842339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0.92608089260808923</v>
      </c>
      <c r="C15" s="446">
        <f>IF(ISNUMBER(NºAsuntos!I15/NºAsuntos!G15),NºAsuntos!I15/NºAsuntos!G15," - ")</f>
        <v>1.2123493975903614</v>
      </c>
      <c r="D15" s="447">
        <f>IF(ISNUMBER('Resol  Asuntos'!D15/NºAsuntos!G15),'Resol  Asuntos'!D15/NºAsuntos!G15," - ")</f>
        <v>0.2161144578313253</v>
      </c>
      <c r="E15" s="448">
        <f>IF(ISNUMBER((NºAsuntos!C15+NºAsuntos!E15)/NºAsuntos!G15),(NºAsuntos!C15+NºAsuntos!E15)/NºAsuntos!G15," - ")</f>
        <v>2.2123493975903616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1.0821355236139631</v>
      </c>
      <c r="C17" s="446">
        <f>IF(ISNUMBER(NºAsuntos!I17/NºAsuntos!G17),NºAsuntos!I17/NºAsuntos!G17," - ")</f>
        <v>0.32258064516129031</v>
      </c>
      <c r="D17" s="447">
        <f>IF(ISNUMBER('Resol  Asuntos'!D17/NºAsuntos!G17),'Resol  Asuntos'!D17/NºAsuntos!G17," - ")</f>
        <v>0.14041745730550284</v>
      </c>
      <c r="E17" s="448">
        <f>IF(ISNUMBER((NºAsuntos!C17+NºAsuntos!E17)/NºAsuntos!G17),(NºAsuntos!C17+NºAsuntos!E17)/NºAsuntos!G17," - ")</f>
        <v>1.3225806451612903</v>
      </c>
      <c r="G17" s="466"/>
    </row>
    <row r="18" spans="1:7" ht="14.25" thickTop="1" thickBot="1">
      <c r="A18" s="851" t="str">
        <f>Datos!A18</f>
        <v>TOTAL</v>
      </c>
      <c r="B18" s="861">
        <f>IF(ISNUMBER(NºAsuntos!G18/NºAsuntos!E18),NºAsuntos!G18/NºAsuntos!E18," - ")</f>
        <v>0.96564289432587191</v>
      </c>
      <c r="C18" s="862">
        <f>IF(ISNUMBER(NºAsuntos!I18/NºAsuntos!G18),NºAsuntos!I18/NºAsuntos!G18," - ")</f>
        <v>0.95956873315363878</v>
      </c>
      <c r="D18" s="865">
        <f>IF(ISNUMBER('Resol  Asuntos'!D18/NºAsuntos!G18),'Resol  Asuntos'!D18/NºAsuntos!G18," - ")</f>
        <v>0.19460916442048518</v>
      </c>
      <c r="E18" s="864">
        <f>IF(ISNUMBER((NºAsuntos!C18+NºAsuntos!E18)/NºAsuntos!G18),(NºAsuntos!C18+NºAsuntos!E18)/NºAsuntos!G18," - ")</f>
        <v>1.9595687331536389</v>
      </c>
      <c r="G18" s="466"/>
    </row>
    <row r="19" spans="1:7" ht="15.75" customHeight="1" thickTop="1" thickBot="1">
      <c r="A19" s="796" t="str">
        <f>Datos!A19</f>
        <v>TOTAL JURISDICCIONES</v>
      </c>
      <c r="B19" s="811">
        <f>IF(ISNUMBER(NºAsuntos!G19/NºAsuntos!E19),NºAsuntos!G19/NºAsuntos!E19," - ")</f>
        <v>1.0300393037619315</v>
      </c>
      <c r="C19" s="812">
        <f>IF(ISNUMBER(NºAsuntos!I19/NºAsuntos!G19),NºAsuntos!I19/NºAsuntos!G19," - ")</f>
        <v>1.2951757972199509</v>
      </c>
      <c r="D19" s="813">
        <f>IF(ISNUMBER('Resol  Asuntos'!D19/NºAsuntos!G19),'Resol  Asuntos'!D19/NºAsuntos!G19," - ")</f>
        <v>0.26737530662305803</v>
      </c>
      <c r="E19" s="814">
        <f>IF(ISNUMBER((NºAsuntos!C19+NºAsuntos!E19)/NºAsuntos!G19),(NºAsuntos!C19+NºAsuntos!E19)/NºAsuntos!G19," - ")</f>
        <v>2.2954483510493322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sv4C3PfJ1b5vEOj+Wi4h1pjT7bLEKBlAhKZVKJeqMVuC69wAi/hNZQDPNeKaT4EbSALXlgJYDc59dapfS3z4A==" saltValue="tt5xydKNsGnAQWKigqcR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CACERES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508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178</v>
      </c>
      <c r="Y9" s="337">
        <f>SUM(W9:X9)</f>
        <v>178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3775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614</v>
      </c>
      <c r="AJ9" s="232" t="str">
        <f>IF(ISNUMBER(Datos!BW9),Datos!BW9," - ")</f>
        <v xml:space="preserve"> - </v>
      </c>
      <c r="AK9" s="231" t="str">
        <f>IF(ISNUMBER(Datos!BX9),Datos!BX9," - ")</f>
        <v xml:space="preserve"> - </v>
      </c>
      <c r="AL9" s="246">
        <f>IF(ISNUMBER(NºAsuntos!G9/NºAsuntos!E9),NºAsuntos!G9/NºAsuntos!E9," - ")</f>
        <v>1.137081490840177</v>
      </c>
      <c r="AM9" s="263">
        <f>IF(ISNUMBER(((NºAsuntos!I9/NºAsuntos!G9)*11)/factor_trimestre),((NºAsuntos!I9/NºAsuntos!G9)*11)/factor_trimestre," - ")</f>
        <v>4.7033333333333331</v>
      </c>
      <c r="AN9" s="247">
        <f>IF(ISNUMBER('Resol  Asuntos'!D9/NºAsuntos!G9),'Resol  Asuntos'!D9/NºAsuntos!G9," - ")</f>
        <v>0.34111111111111109</v>
      </c>
      <c r="AO9" s="248">
        <f>IF(ISNUMBER((NºAsuntos!C9+NºAsuntos!E9)/NºAsuntos!G9),(NºAsuntos!C9+NºAsuntos!E9)/NºAsuntos!G9," - ")</f>
        <v>2.5683333333333334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106</v>
      </c>
      <c r="G10" s="336">
        <f>IF(ISNUMBER(Datos!I10),Datos!I10," - ")</f>
        <v>106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0</v>
      </c>
      <c r="Y10" s="337">
        <f t="shared" ref="Y10:Y12" si="0">SUM(W10:X10)</f>
        <v>14</v>
      </c>
      <c r="Z10" s="338" t="str">
        <f>IF(ISNUMBER(Datos!CC10),Datos!CC10," - ")</f>
        <v xml:space="preserve"> - </v>
      </c>
      <c r="AA10" s="335">
        <f>IF(ISNUMBER(Datos!L10),Datos!L10,"-")</f>
        <v>150</v>
      </c>
      <c r="AB10" s="337">
        <f>IF(ISNUMBER(Datos!R10),Datos!R10," - ")</f>
        <v>19</v>
      </c>
      <c r="AC10" s="337">
        <f t="shared" ref="AC10:AC12" si="1">IF(ISNUMBER(AA10+AB10),AA10+AB10," - ")</f>
        <v>169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0.2413793103448276</v>
      </c>
      <c r="AM10" s="263">
        <f>IF(ISNUMBER(((NºAsuntos!I10/NºAsuntos!G10)*11)/factor_trimestre),((NºAsuntos!I10/NºAsuntos!G10)*11)/factor_trimestre," - ")</f>
        <v>32.142857142857139</v>
      </c>
      <c r="AN10" s="247">
        <f>IF(ISNUMBER('Resol  Asuntos'!D10/NºAsuntos!G10),'Resol  Asuntos'!D10/NºAsuntos!G10," - ")</f>
        <v>0.42857142857142855</v>
      </c>
      <c r="AO10" s="248">
        <f>IF(ISNUMBER((NºAsuntos!C10+NºAsuntos!E10)/NºAsuntos!G10),(NºAsuntos!C10+NºAsuntos!E10)/NºAsuntos!G10," - ")</f>
        <v>11.714285714285714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106</v>
      </c>
      <c r="G13" s="869">
        <f t="shared" si="3"/>
        <v>106</v>
      </c>
      <c r="H13" s="868">
        <f t="shared" si="3"/>
        <v>0</v>
      </c>
      <c r="I13" s="870">
        <f t="shared" si="3"/>
        <v>0</v>
      </c>
      <c r="J13" s="870">
        <f t="shared" si="3"/>
        <v>0</v>
      </c>
      <c r="K13" s="870">
        <f t="shared" si="3"/>
        <v>0</v>
      </c>
      <c r="L13" s="870">
        <f t="shared" si="3"/>
        <v>511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178</v>
      </c>
      <c r="Y13" s="871">
        <f t="shared" si="4"/>
        <v>192</v>
      </c>
      <c r="Z13" s="871">
        <f t="shared" si="4"/>
        <v>0</v>
      </c>
      <c r="AA13" s="871">
        <f t="shared" si="4"/>
        <v>150</v>
      </c>
      <c r="AB13" s="871">
        <f t="shared" si="4"/>
        <v>3794</v>
      </c>
      <c r="AC13" s="871">
        <f t="shared" si="4"/>
        <v>169</v>
      </c>
      <c r="AD13" s="871">
        <f t="shared" si="4"/>
        <v>0</v>
      </c>
      <c r="AE13" s="875">
        <f t="shared" si="4"/>
        <v>0</v>
      </c>
      <c r="AF13" s="868">
        <f t="shared" si="4"/>
        <v>0</v>
      </c>
      <c r="AG13" s="876">
        <f t="shared" si="4"/>
        <v>0</v>
      </c>
      <c r="AH13" s="873">
        <f t="shared" si="4"/>
        <v>0</v>
      </c>
      <c r="AI13" s="868">
        <f t="shared" si="4"/>
        <v>620</v>
      </c>
      <c r="AJ13" s="870">
        <f t="shared" si="4"/>
        <v>0</v>
      </c>
      <c r="AK13" s="873">
        <f>SUBTOTAL(9,AK9:AK12)</f>
        <v>0</v>
      </c>
      <c r="AL13" s="877">
        <f>IF(ISNUMBER(NºAsuntos!G13/NºAsuntos!E13),NºAsuntos!G13/NºAsuntos!E13," - ")</f>
        <v>1.105423522242535</v>
      </c>
      <c r="AM13" s="877">
        <f>IF(ISNUMBER(((NºAsuntos!I13/NºAsuntos!G13)*11)/factor_trimestre),((NºAsuntos!I13/NºAsuntos!G13)*11)/factor_trimestre," - ")</f>
        <v>4.9151047409040798</v>
      </c>
      <c r="AN13" s="878">
        <f>IF(ISNUMBER('Resol  Asuntos'!D13/NºAsuntos!G13),'Resol  Asuntos'!D13/NºAsuntos!G13," - ")</f>
        <v>0.34178610804851156</v>
      </c>
      <c r="AO13" s="879">
        <f>IF(ISNUMBER((NºAsuntos!C13+NºAsuntos!E13)/NºAsuntos!G13),(NºAsuntos!C13+NºAsuntos!E13)/NºAsuntos!G13," - ")</f>
        <v>2.6389195148842339</v>
      </c>
      <c r="AP13" s="880" t="str">
        <f t="shared" si="2"/>
        <v xml:space="preserve"> - </v>
      </c>
      <c r="AQ13" s="880">
        <f>IF(ISNUMBER((H13-W13+K13)/(F13)),(H13-W13+K13)/(F13)," - ")</f>
        <v>-0.13207547169811321</v>
      </c>
      <c r="AR13" s="881">
        <f>IF(ISNUMBER((Datos!P13-Datos!Q13)/(Datos!R13-Datos!P13+Datos!Q13)),(Datos!P13-Datos!Q13)/(Datos!R13-Datos!P13+Datos!Q13)," - ")</f>
        <v>9.6214966772609073E-2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1504</v>
      </c>
      <c r="G15" s="336">
        <f>IF(ISNUMBER(IF(D_I="SI",Datos!I15,Datos!I15+Datos!AC15)),IF(D_I="SI",Datos!I15,Datos!I15+Datos!AC15)," - ")</f>
        <v>1504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1328</v>
      </c>
      <c r="X15" s="229">
        <f>IF(ISNUMBER(Datos!Q15),Datos!Q15," - ")</f>
        <v>40</v>
      </c>
      <c r="Y15" s="337">
        <f>SUM(W15)</f>
        <v>1328</v>
      </c>
      <c r="Z15" s="338" t="str">
        <f>IF(ISNUMBER(Datos!CC15),Datos!CC15," - ")</f>
        <v xml:space="preserve"> - </v>
      </c>
      <c r="AA15" s="335">
        <f>IF(ISNUMBER(IF(D_I="SI",Datos!L15,Datos!L15+Datos!AF15)),IF(D_I="SI",Datos!L15,Datos!L15+Datos!AF15)," - ")</f>
        <v>1610</v>
      </c>
      <c r="AB15" s="337">
        <f>IF(ISNUMBER(Datos!R15),Datos!R15," - ")</f>
        <v>138</v>
      </c>
      <c r="AC15" s="337">
        <f t="shared" ref="AC15:AC17" si="6">IF(ISNUMBER(AA15+AB15),AA15+AB15," - ")</f>
        <v>1748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287</v>
      </c>
      <c r="AJ15" s="234" t="str">
        <f>IF(ISNUMBER(Datos!BW15),Datos!BW15," - ")</f>
        <v xml:space="preserve"> - </v>
      </c>
      <c r="AK15" s="235" t="str">
        <f>IF(ISNUMBER(Datos!BX15),Datos!BX15," - ")</f>
        <v xml:space="preserve"> - </v>
      </c>
      <c r="AL15" s="246">
        <f>IF(ISNUMBER(NºAsuntos!G15/NºAsuntos!E15),NºAsuntos!G15/NºAsuntos!E15," - ")</f>
        <v>0.92608089260808923</v>
      </c>
      <c r="AM15" s="263">
        <f>IF(ISNUMBER(((NºAsuntos!I15/NºAsuntos!G15)*11)/factor_trimestre),((NºAsuntos!I15/NºAsuntos!G15)*11)/factor_trimestre," - ")</f>
        <v>3.6370481927710845</v>
      </c>
      <c r="AN15" s="247">
        <f>IF(ISNUMBER('Resol  Asuntos'!D15/NºAsuntos!G15),'Resol  Asuntos'!D15/NºAsuntos!G15," - ")</f>
        <v>0.2161144578313253</v>
      </c>
      <c r="AO15" s="248">
        <f>IF(ISNUMBER((NºAsuntos!C15+NºAsuntos!E15)/NºAsuntos!G15),(NºAsuntos!C15+NºAsuntos!E15)/NºAsuntos!G15," - ")</f>
        <v>2.2123493975903616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527</v>
      </c>
      <c r="X17" s="229">
        <f>IF(ISNUMBER(Datos!Q17),Datos!Q17," - ")</f>
        <v>8</v>
      </c>
      <c r="Y17" s="337">
        <f t="shared" si="7"/>
        <v>535</v>
      </c>
      <c r="Z17" s="338" t="str">
        <f>IF(ISNUMBER(Datos!CC17),Datos!CC17," - ")</f>
        <v xml:space="preserve"> - </v>
      </c>
      <c r="AA17" s="335">
        <f>IF(ISNUMBER(Datos!L17),Datos!L17,"-")</f>
        <v>170</v>
      </c>
      <c r="AB17" s="337">
        <f>IF(ISNUMBER(Datos!R17),Datos!R17," - ")</f>
        <v>2</v>
      </c>
      <c r="AC17" s="337">
        <f t="shared" si="6"/>
        <v>172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74</v>
      </c>
      <c r="AJ17" s="234" t="str">
        <f>IF(ISNUMBER(Datos!BW17),Datos!BW17," - ")</f>
        <v xml:space="preserve"> - </v>
      </c>
      <c r="AK17" s="235" t="str">
        <f>IF(ISNUMBER(Datos!BX17),Datos!BX17," - ")</f>
        <v xml:space="preserve"> - </v>
      </c>
      <c r="AL17" s="246">
        <f>IF(ISNUMBER(NºAsuntos!G17/NºAsuntos!E17),NºAsuntos!G17/NºAsuntos!E17," - ")</f>
        <v>1.0821355236139631</v>
      </c>
      <c r="AM17" s="263">
        <f>IF(ISNUMBER(((NºAsuntos!I17/NºAsuntos!G17)*11)/factor_trimestre),((NºAsuntos!I17/NºAsuntos!G17)*11)/factor_trimestre," - ")</f>
        <v>0.967741935483871</v>
      </c>
      <c r="AN17" s="247">
        <f>IF(ISNUMBER('Resol  Asuntos'!D17/NºAsuntos!G17),'Resol  Asuntos'!D17/NºAsuntos!G17," - ")</f>
        <v>0.14041745730550284</v>
      </c>
      <c r="AO17" s="248">
        <f>IF(ISNUMBER((NºAsuntos!C17+NºAsuntos!E17)/NºAsuntos!G17),(NºAsuntos!C17+NºAsuntos!E17)/NºAsuntos!G17," - ")</f>
        <v>1.3225806451612903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1504</v>
      </c>
      <c r="G18" s="869">
        <f>SUBTOTAL(9,G15:G17)</f>
        <v>1714</v>
      </c>
      <c r="H18" s="868">
        <f t="shared" ref="H18:O18" si="10">SUBTOTAL(9,H14:H17)</f>
        <v>0</v>
      </c>
      <c r="I18" s="870">
        <f t="shared" si="10"/>
        <v>0</v>
      </c>
      <c r="J18" s="870">
        <f t="shared" si="10"/>
        <v>0</v>
      </c>
      <c r="K18" s="870">
        <f t="shared" si="10"/>
        <v>0</v>
      </c>
      <c r="L18" s="870">
        <f t="shared" si="10"/>
        <v>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1855</v>
      </c>
      <c r="X18" s="870">
        <f t="shared" si="11"/>
        <v>48</v>
      </c>
      <c r="Y18" s="871">
        <f t="shared" si="11"/>
        <v>1863</v>
      </c>
      <c r="Z18" s="871">
        <f t="shared" si="11"/>
        <v>0</v>
      </c>
      <c r="AA18" s="871">
        <f t="shared" si="11"/>
        <v>1780</v>
      </c>
      <c r="AB18" s="871">
        <f t="shared" si="11"/>
        <v>140</v>
      </c>
      <c r="AC18" s="871">
        <f t="shared" si="11"/>
        <v>1920</v>
      </c>
      <c r="AD18" s="871">
        <f t="shared" si="11"/>
        <v>0</v>
      </c>
      <c r="AE18" s="875">
        <f t="shared" si="11"/>
        <v>0</v>
      </c>
      <c r="AF18" s="868">
        <f t="shared" si="11"/>
        <v>0</v>
      </c>
      <c r="AG18" s="876">
        <f t="shared" si="11"/>
        <v>0</v>
      </c>
      <c r="AH18" s="873">
        <f t="shared" si="11"/>
        <v>0</v>
      </c>
      <c r="AI18" s="868">
        <f t="shared" si="11"/>
        <v>361</v>
      </c>
      <c r="AJ18" s="870">
        <f t="shared" si="11"/>
        <v>0</v>
      </c>
      <c r="AK18" s="873">
        <f t="shared" si="11"/>
        <v>0</v>
      </c>
      <c r="AL18" s="877">
        <f>IF(ISNUMBER(NºAsuntos!G18/NºAsuntos!E18),NºAsuntos!G18/NºAsuntos!E18," - ")</f>
        <v>0.96564289432587191</v>
      </c>
      <c r="AM18" s="877">
        <f>IF(ISNUMBER(((NºAsuntos!I18/NºAsuntos!G18)*11)/factor_trimestre),((NºAsuntos!I18/NºAsuntos!G18)*11)/factor_trimestre," - ")</f>
        <v>2.8787061994609164</v>
      </c>
      <c r="AN18" s="878">
        <f>IF(ISNUMBER('Resol  Asuntos'!D18/NºAsuntos!G18),'Resol  Asuntos'!D18/NºAsuntos!G18," - ")</f>
        <v>0.19460916442048518</v>
      </c>
      <c r="AO18" s="879">
        <f>IF(ISNUMBER((NºAsuntos!C18+NºAsuntos!E18)/NºAsuntos!G18),(NºAsuntos!C18+NºAsuntos!E18)/NºAsuntos!G18," - ")</f>
        <v>1.9595687331536389</v>
      </c>
      <c r="AP18" s="880" t="str">
        <f t="shared" si="2"/>
        <v xml:space="preserve"> - </v>
      </c>
      <c r="AQ18" s="880">
        <f>IF(ISNUMBER((H18-W18+K18)/(F18)),(H18-W18+K18)/(F18)," - ")</f>
        <v>-1.2333776595744681</v>
      </c>
      <c r="AR18" s="881">
        <f>IF(ISNUMBER((Datos!P18-Datos!Q18)/(Datos!R18-Datos!P18+Datos!Q18)),(Datos!P18-Datos!Q18)/(Datos!R18-Datos!P18+Datos!Q18)," - ")</f>
        <v>0.28440366972477066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1610</v>
      </c>
      <c r="G19" s="824">
        <f t="shared" si="13"/>
        <v>1820</v>
      </c>
      <c r="H19" s="823">
        <f t="shared" si="13"/>
        <v>0</v>
      </c>
      <c r="I19" s="825">
        <f t="shared" si="13"/>
        <v>0</v>
      </c>
      <c r="J19" s="825">
        <f t="shared" si="13"/>
        <v>0</v>
      </c>
      <c r="K19" s="884">
        <f t="shared" si="13"/>
        <v>0</v>
      </c>
      <c r="L19" s="825">
        <f t="shared" si="13"/>
        <v>590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1869</v>
      </c>
      <c r="X19" s="824">
        <f t="shared" si="14"/>
        <v>226</v>
      </c>
      <c r="Y19" s="831">
        <f t="shared" si="14"/>
        <v>2055</v>
      </c>
      <c r="Z19" s="831">
        <f t="shared" si="14"/>
        <v>0</v>
      </c>
      <c r="AA19" s="831">
        <f t="shared" si="14"/>
        <v>1930</v>
      </c>
      <c r="AB19" s="831">
        <f t="shared" si="14"/>
        <v>3934</v>
      </c>
      <c r="AC19" s="831">
        <f t="shared" si="14"/>
        <v>2089</v>
      </c>
      <c r="AD19" s="831">
        <f t="shared" si="14"/>
        <v>0</v>
      </c>
      <c r="AE19" s="833">
        <f t="shared" si="14"/>
        <v>0</v>
      </c>
      <c r="AF19" s="834">
        <f t="shared" si="14"/>
        <v>0</v>
      </c>
      <c r="AG19" s="835">
        <f t="shared" si="14"/>
        <v>0</v>
      </c>
      <c r="AH19" s="833">
        <f t="shared" si="14"/>
        <v>0</v>
      </c>
      <c r="AI19" s="823">
        <f t="shared" si="14"/>
        <v>981</v>
      </c>
      <c r="AJ19" s="823">
        <f t="shared" si="14"/>
        <v>0</v>
      </c>
      <c r="AK19" s="833">
        <f t="shared" si="14"/>
        <v>0</v>
      </c>
      <c r="AL19" s="887">
        <f>IF(ISNUMBER(NºAsuntos!G19/NºAsuntos!E19),NºAsuntos!G19/NºAsuntos!E19," - ")</f>
        <v>1.0300393037619315</v>
      </c>
      <c r="AM19" s="888">
        <f>IF(ISNUMBER(((NºAsuntos!I19/NºAsuntos!G19)*11)/factor_trimestre),((NºAsuntos!I19/NºAsuntos!G19)*11)/factor_trimestre," - ")</f>
        <v>3.8855273916598527</v>
      </c>
      <c r="AN19" s="888">
        <f>IF(ISNUMBER('Resol  Asuntos'!D19/NºAsuntos!G19),'Resol  Asuntos'!D19/NºAsuntos!G19," - ")</f>
        <v>0.26737530662305803</v>
      </c>
      <c r="AO19" s="889">
        <f>IF(ISNUMBER((NºAsuntos!C19+NºAsuntos!E19)/NºAsuntos!G19),(NºAsuntos!C19+NºAsuntos!E19)/NºAsuntos!G19," - ")</f>
        <v>2.2954483510493322</v>
      </c>
      <c r="AP19" s="890" t="str">
        <f t="shared" si="2"/>
        <v xml:space="preserve"> - </v>
      </c>
      <c r="AQ19" s="891">
        <f>IF(OR(ISNUMBER(FIND("01",Criterios!A8,1)),ISNUMBER(FIND("02",Criterios!A8,1)),ISNUMBER(FIND("03",Criterios!A8,1)),ISNUMBER(FIND("04",Criterios!A8,1))),(I19-W19+K19)/(F19-K19),(H19-W19+K19)/(F19-K19))</f>
        <v>-1.1608695652173913</v>
      </c>
      <c r="AR19" s="892">
        <f>IF(ISNUMBER((Datos!P19-Datos!Q19)/(Datos!R19-Datos!P19+Datos!Q19)),(Datos!P19-Datos!Q19)/(Datos!R19-Datos!P19+Datos!Q19)," - ")</f>
        <v>0.10196078431372549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2.3333333333333335</v>
      </c>
      <c r="F21" s="255">
        <f>IF(ISNUMBER(STDEV(F8:F18)),STDEV(F8:F18),"-")</f>
        <v>807.1356763270968</v>
      </c>
      <c r="G21" s="256">
        <f>IF(ISNUMBER(STDEV(G8:G18)),STDEV(G8:G18),"-")</f>
        <v>808.77438139446531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819.78674056122668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260.00923060537679</v>
      </c>
      <c r="AJ21" s="255">
        <f t="shared" si="18"/>
        <v>0</v>
      </c>
      <c r="AK21" s="257">
        <f t="shared" si="18"/>
        <v>0</v>
      </c>
      <c r="AL21" s="252">
        <f t="shared" si="18"/>
        <v>0.33757799096429486</v>
      </c>
      <c r="AM21" s="253">
        <f t="shared" si="18"/>
        <v>11.81287045592533</v>
      </c>
      <c r="AN21" s="253">
        <f t="shared" si="18"/>
        <v>0.10993761900595167</v>
      </c>
      <c r="AO21" s="254">
        <f t="shared" si="18"/>
        <v>3.9375598067882636</v>
      </c>
      <c r="AP21" s="294" t="str">
        <f t="shared" si="18"/>
        <v>-</v>
      </c>
      <c r="AQ21" s="295">
        <f t="shared" si="18"/>
        <v>0.77873824518295176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2ebM4NA/hS1uVejtwcECSqe/9LmggLdi1+vFBOsqehcA8Zt3hPgdklg9T27ndv2jJaJWGjqXCTYPV8K+DhFwg==" saltValue="huSXXCZyKe9klCrlFEdc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CACERES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1.1200000000000001</v>
      </c>
      <c r="E10" s="351">
        <f>IF(ISNUMBER((Datos!J10-Datos!T10)/Datos!T10),(Datos!J10-Datos!T10)/Datos!T10," - ")</f>
        <v>2.625</v>
      </c>
      <c r="F10" s="351">
        <f>IF(ISNUMBER((Datos!K10-Datos!U10)/Datos!U10),(Datos!K10-Datos!U10)/Datos!U10," - ")</f>
        <v>-0.3</v>
      </c>
      <c r="G10" s="352">
        <f>IF(ISNUMBER((Datos!L10-Datos!V10)/Datos!V10),(Datos!L10-Datos!V10)/Datos!V10," - ")</f>
        <v>2.2608695652173911</v>
      </c>
      <c r="H10" s="233">
        <f>IF(ISNUMBER((Datos!M10-Datos!W10)/Datos!W10),(Datos!M10-Datos!W10)/Datos!W10," - ")</f>
        <v>-0.25</v>
      </c>
      <c r="I10" s="353">
        <f>IF(ISNUMBER((Tasas!C10-Datos!BE10)/Datos!BE10),(Tasas!C10-Datos!BE10)/Datos!BE10," - ")</f>
        <v>3.6583850931677024</v>
      </c>
      <c r="J10" s="352">
        <f>IF(ISNUMBER((Tasas!D10-Datos!BF10)/Datos!BF10),(Tasas!D10-Datos!BF10)/Datos!BF10," - ")</f>
        <v>7.1428571428571314E-2</v>
      </c>
      <c r="K10" s="354">
        <f>IF(ISNUMBER((Tasas!E10-Datos!BG10)/Datos!BG10),(Tasas!E10-Datos!BG10)/Datos!BG10," - ")</f>
        <v>2.5497835497835499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76.5</v>
      </c>
      <c r="I13" s="360">
        <f>IF(ISNUMBER((Tasas!C13-Datos!BE13)/Datos!BE13),(Tasas!C13-Datos!BE13)/Datos!BE13," - ")</f>
        <v>-0.28766597957911882</v>
      </c>
      <c r="J13" s="358">
        <f>IF(ISNUMBER((Tasas!D13-Datos!BF13)/Datos!BF13),(Tasas!D13-Datos!BF13)/Datos!BF13," - ")</f>
        <v>-0.14553472987872115</v>
      </c>
      <c r="K13" s="361">
        <f>IF(ISNUMBER((Tasas!E13-Datos!BG13)/Datos!BG13),(Tasas!E13-Datos!BG13)/Datos!BG13," - ")</f>
        <v>-0.20032741973205029</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0.62790697674418605</v>
      </c>
      <c r="E17" s="351">
        <f>IF(ISNUMBER(
   IF(D_I="SI",(Datos!J17-Datos!T17)/Datos!T17,(Datos!J17+Datos!AD17-(Datos!T17+Datos!AL17))/(Datos!T17+Datos!AL17))
     ),IF(D_I="SI",(Datos!J17-Datos!T17)/Datos!T17,(Datos!J17+Datos!AD17-(Datos!T17+Datos!AL17))/(Datos!T17+Datos!AL17))," - ")</f>
        <v>1.7206703910614525</v>
      </c>
      <c r="F17" s="351">
        <f>IF(ISNUMBER(
   IF(D_I="SI",(Datos!K17-Datos!U17)/Datos!U17,(Datos!K17+Datos!AE17-(Datos!U17+Datos!AM17))/(Datos!U17+Datos!AM17))
     ),IF(D_I="SI",(Datos!K17-Datos!U17)/Datos!U17,(Datos!K17+Datos!AE17-(Datos!U17+Datos!AM17))/(Datos!U17+Datos!AM17))," - ")</f>
        <v>1.9774011299435028</v>
      </c>
      <c r="G17" s="352">
        <f>IF(ISNUMBER(
   IF(D_I="SI",(Datos!L17-Datos!V17)/Datos!V17,(Datos!L17+Datos!AF17-(Datos!V17+Datos!AN17))/(Datos!V17+Datos!AN17))
     ),IF(D_I="SI",(Datos!L17-Datos!V17)/Datos!V17,(Datos!L17+Datos!AF17-(Datos!V17+Datos!AN17))/(Datos!V17+Datos!AN17))," - ")</f>
        <v>0.29770992366412213</v>
      </c>
      <c r="H17" s="233">
        <f>IF(ISNUMBER((Datos!M17-Datos!W17)/Datos!W17),(Datos!M17-Datos!W17)/Datos!W17," - ")</f>
        <v>2.0833333333333335</v>
      </c>
      <c r="I17" s="353">
        <f>IF(ISNUMBER((Tasas!C17-Datos!BE17)/Datos!BE17),(Tasas!C17-Datos!BE17)/Datos!BE17," - ")</f>
        <v>-0.56414676188130997</v>
      </c>
      <c r="J17" s="352">
        <f>IF(ISNUMBER((Tasas!D17-Datos!BF17)/Datos!BF17),(Tasas!D17-Datos!BF17)/Datos!BF17," - ")</f>
        <v>3.5578747628083454E-2</v>
      </c>
      <c r="K17" s="354">
        <f>IF(ISNUMBER((Tasas!E17-Datos!BG17)/Datos!BG17),(Tasas!E17-Datos!BG17)/Datos!BG17," - ")</f>
        <v>-0.23994553833263513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12.286821705426357</v>
      </c>
      <c r="E18" s="357">
        <f>IF(ISNUMBER(
   IF(D_I="SI",(Datos!J18-Datos!T18)/Datos!T18,(Datos!J18+Datos!AD18-(Datos!T18+Datos!AL18))/(Datos!T18+Datos!AL18))
     ),IF(D_I="SI",(Datos!J18-Datos!T18)/Datos!T18,(Datos!J18+Datos!AD18-(Datos!T18+Datos!AL18))/(Datos!T18+Datos!AL18))," - ")</f>
        <v>9.7318435754189938</v>
      </c>
      <c r="F18" s="357">
        <f>IF(ISNUMBER(
   IF(D_I="SI",(Datos!K18-Datos!U18)/Datos!U18,(Datos!K18+Datos!AE18-(Datos!U18+Datos!AM18))/(Datos!U18+Datos!AM18))
     ),IF(D_I="SI",(Datos!K18-Datos!U18)/Datos!U18,(Datos!K18+Datos!AE18-(Datos!U18+Datos!AM18))/(Datos!U18+Datos!AM18))," - ")</f>
        <v>9.4802259887005658</v>
      </c>
      <c r="G18" s="358">
        <f>IF(ISNUMBER(
   IF(D_I="SI",(Datos!L18-Datos!V18)/Datos!V18,(Datos!L18+Datos!AF18-(Datos!V18+Datos!AN18))/(Datos!V18+Datos!AN18))
     ),IF(D_I="SI",(Datos!L18-Datos!V18)/Datos!V18,(Datos!L18+Datos!AF18-(Datos!V18+Datos!AN18))/(Datos!V18+Datos!AN18))," - ")</f>
        <v>12.587786259541986</v>
      </c>
      <c r="H18" s="359">
        <f>IF(ISNUMBER((Datos!M18-Datos!W18)/Datos!W18),(Datos!M18-Datos!W18)/Datos!W18," - ")</f>
        <v>14.041666666666666</v>
      </c>
      <c r="I18" s="360">
        <f>IF(ISNUMBER((Tasas!C18-Datos!BE18)/Datos!BE18),(Tasas!C18-Datos!BE18)/Datos!BE18," - ")</f>
        <v>0.29651653258163413</v>
      </c>
      <c r="J18" s="358">
        <f>IF(ISNUMBER((Tasas!D18-Datos!BF18)/Datos!BF18),(Tasas!D18-Datos!BF18)/Datos!BF18," - ")</f>
        <v>0.4352425876010782</v>
      </c>
      <c r="K18" s="361">
        <f>IF(ISNUMBER((Tasas!E18-Datos!BG18)/Datos!BG18),(Tasas!E18-Datos!BG18)/Datos!BG18," - ")</f>
        <v>0.12611579794868211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26.150837988826815</v>
      </c>
      <c r="E19" s="366">
        <f>IF(ISNUMBER(
   IF(J_V="SI",(Datos!J19-Datos!T19)/Datos!T19,(Datos!J19+Datos!Z19-(Datos!T19+Datos!AH19))/(Datos!T19+Datos!AH19))
     ),IF(J_V="SI",(Datos!J19-Datos!T19)/Datos!T19,(Datos!J19+Datos!Z19-(Datos!T19+Datos!AH19))/(Datos!T19+Datos!AH19))," - ")</f>
        <v>17.266666666666666</v>
      </c>
      <c r="F19" s="366">
        <f>IF(ISNUMBER(
   IF(J_V="SI",(Datos!K19-Datos!U19)/Datos!U19,(Datos!K19+Datos!AA19-(Datos!U19+Datos!AI19))/(Datos!U19+Datos!AI19))
     ),IF(J_V="SI",(Datos!K19-Datos!U19)/Datos!U19,(Datos!K19+Datos!AA19-(Datos!U19+Datos!AI19))/(Datos!U19+Datos!AI19))," - ")</f>
        <v>17.624365482233504</v>
      </c>
      <c r="G19" s="367">
        <f>IF(ISNUMBER(
   IF(J_V="SI",(Datos!L19-Datos!V19)/Datos!V19,(Datos!L19+Datos!AB19-(Datos!V19+Datos!AJ19))/(Datos!V19+Datos!AJ19))
     ),IF(J_V="SI",(Datos!L19-Datos!V19)/Datos!V19,(Datos!L19+Datos!AB19-(Datos!V19+Datos!AJ19))/(Datos!V19+Datos!AJ19))," - ")</f>
        <v>25.847457627118644</v>
      </c>
      <c r="H19" s="368">
        <f>IF(ISNUMBER((Datos!M19-Datos!W19)/Datos!W19),(Datos!M19-Datos!W19)/Datos!W19," - ")</f>
        <v>29.65625</v>
      </c>
      <c r="I19" s="365">
        <f>IF(ISNUMBER((Tasas!C19-Datos!BE19)/Datos!BE19),(Tasas!C19-Datos!BE19)/Datos!BE19," - ")</f>
        <v>0.44152334492841988</v>
      </c>
      <c r="J19" s="366">
        <f>IF(ISNUMBER((Tasas!D19-Datos!BF19)/Datos!BF19),(Tasas!D19-Datos!BF19)/Datos!BF19," - ")</f>
        <v>0.64602923139820112</v>
      </c>
      <c r="K19" s="367">
        <f>IF(ISNUMBER((Tasas!E19-Datos!BG19)/Datos!BG19),(Tasas!E19-Datos!BG19)/Datos!BG19," - ")</f>
        <v>0.20909979988427396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6.5938147177866666</v>
      </c>
      <c r="E21" s="281">
        <f t="shared" si="1"/>
        <v>4.387556902515084</v>
      </c>
      <c r="F21" s="281">
        <f t="shared" si="1"/>
        <v>5.1174824076868246</v>
      </c>
      <c r="G21" s="282">
        <f t="shared" si="1"/>
        <v>6.6023377240117078</v>
      </c>
      <c r="H21" s="288">
        <f t="shared" si="1"/>
        <v>36.150315924417384</v>
      </c>
      <c r="I21" s="280">
        <f t="shared" si="1"/>
        <v>1.9549447283580623</v>
      </c>
      <c r="J21" s="281">
        <f t="shared" si="1"/>
        <v>0.24333695629035559</v>
      </c>
      <c r="K21" s="282">
        <f t="shared" si="1"/>
        <v>1.3373481151339248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mhHXZFCQBRsIfWAdl6/4ebsgK0rC6Pw++gQ0rRotrcfxEzmXWSo0qRvqVmtZIf1Et7fWzIEEM6N1EkSNzUvyg==" saltValue="uaojpkMaM3ZDunVTt+xr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